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X:\REMUNERACIONES\2023\TRANSPARENCIA\ESCALA\"/>
    </mc:Choice>
  </mc:AlternateContent>
  <xr:revisionPtr revIDLastSave="0" documentId="13_ncr:1_{A02F5FAF-F422-4D7B-8FEF-0C89A60F7EA6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EUS GENERAL" sheetId="1" r:id="rId1"/>
    <sheet name="EUS SALUD Y PENSIONES" sheetId="9" r:id="rId2"/>
    <sheet name="EUS MINAGRI" sheetId="3" r:id="rId3"/>
    <sheet name="BONO MODERNIZACIÓN" sheetId="7" r:id="rId4"/>
    <sheet name="ASIG. ANTIGUEDAD" sheetId="8" r:id="rId5"/>
  </sheets>
  <definedNames>
    <definedName name="_xlnm._FilterDatabase" localSheetId="2" hidden="1">'EUS MINAGRI'!$A$3:$T$41</definedName>
    <definedName name="_xlnm.Print_Area" localSheetId="3">'BONO MODERNIZACIÓN'!$A$3:$E$43</definedName>
    <definedName name="_xlnm.Print_Area" localSheetId="2">'EUS MINAGRI'!$A$1:$R$41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8" l="1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3" i="8"/>
  <c r="I7" i="7"/>
  <c r="I8" i="7"/>
  <c r="I9" i="7"/>
  <c r="I14" i="7"/>
  <c r="I15" i="7"/>
  <c r="I20" i="7"/>
  <c r="I21" i="7"/>
  <c r="I26" i="7"/>
  <c r="I27" i="7"/>
  <c r="I32" i="7"/>
  <c r="I33" i="7"/>
  <c r="I36" i="7"/>
  <c r="I38" i="7"/>
  <c r="I39" i="7"/>
  <c r="G43" i="7"/>
  <c r="I43" i="7" s="1"/>
  <c r="G42" i="7"/>
  <c r="I42" i="7" s="1"/>
  <c r="G41" i="7"/>
  <c r="G40" i="7"/>
  <c r="I40" i="7" s="1"/>
  <c r="G39" i="7"/>
  <c r="G38" i="7"/>
  <c r="G37" i="7"/>
  <c r="I37" i="7" s="1"/>
  <c r="G35" i="7"/>
  <c r="I35" i="7" s="1"/>
  <c r="G34" i="7"/>
  <c r="I34" i="7" s="1"/>
  <c r="G33" i="7"/>
  <c r="G32" i="7"/>
  <c r="G31" i="7"/>
  <c r="I31" i="7" s="1"/>
  <c r="G30" i="7"/>
  <c r="I30" i="7" s="1"/>
  <c r="G29" i="7"/>
  <c r="I29" i="7" s="1"/>
  <c r="G28" i="7"/>
  <c r="I28" i="7" s="1"/>
  <c r="G27" i="7"/>
  <c r="G26" i="7"/>
  <c r="G25" i="7"/>
  <c r="I25" i="7" s="1"/>
  <c r="G24" i="7"/>
  <c r="I24" i="7" s="1"/>
  <c r="G23" i="7"/>
  <c r="I23" i="7" s="1"/>
  <c r="G22" i="7"/>
  <c r="I22" i="7" s="1"/>
  <c r="G21" i="7"/>
  <c r="G20" i="7"/>
  <c r="G19" i="7"/>
  <c r="I19" i="7" s="1"/>
  <c r="G18" i="7"/>
  <c r="I18" i="7" s="1"/>
  <c r="G17" i="7"/>
  <c r="I17" i="7" s="1"/>
  <c r="G16" i="7"/>
  <c r="I16" i="7" s="1"/>
  <c r="G15" i="7"/>
  <c r="G14" i="7"/>
  <c r="G13" i="7"/>
  <c r="I13" i="7" s="1"/>
  <c r="G12" i="7"/>
  <c r="I12" i="7" s="1"/>
  <c r="G11" i="7"/>
  <c r="I11" i="7" s="1"/>
  <c r="G10" i="7"/>
  <c r="I10" i="7" s="1"/>
  <c r="G9" i="7"/>
  <c r="G8" i="7"/>
  <c r="H43" i="7"/>
  <c r="H42" i="7"/>
  <c r="H41" i="7"/>
  <c r="I41" i="7" s="1"/>
  <c r="H40" i="7"/>
  <c r="H39" i="7"/>
  <c r="H38" i="7"/>
  <c r="H37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R6" i="3" l="1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5" i="3" l="1"/>
  <c r="R4" i="3"/>
  <c r="F3" i="8" l="1"/>
  <c r="G4" i="8"/>
  <c r="G5" i="8"/>
  <c r="G6" i="8"/>
  <c r="K6" i="8"/>
  <c r="P6" i="8"/>
  <c r="G7" i="8"/>
  <c r="G8" i="8"/>
  <c r="G9" i="8"/>
  <c r="G10" i="8"/>
  <c r="I10" i="8"/>
  <c r="M10" i="8"/>
  <c r="P10" i="8"/>
  <c r="T10" i="8"/>
  <c r="G11" i="8"/>
  <c r="G12" i="8"/>
  <c r="G13" i="8"/>
  <c r="I13" i="8"/>
  <c r="G14" i="8"/>
  <c r="G15" i="8"/>
  <c r="G16" i="8"/>
  <c r="G17" i="8"/>
  <c r="G18" i="8"/>
  <c r="G19" i="8"/>
  <c r="K20" i="8"/>
  <c r="M20" i="8"/>
  <c r="M21" i="8"/>
  <c r="H21" i="8"/>
  <c r="M22" i="8"/>
  <c r="T23" i="8"/>
  <c r="J24" i="8"/>
  <c r="P25" i="8"/>
  <c r="J26" i="8"/>
  <c r="I27" i="8"/>
  <c r="J28" i="8"/>
  <c r="J29" i="8"/>
  <c r="J30" i="8"/>
  <c r="P31" i="8"/>
  <c r="J32" i="8"/>
  <c r="T33" i="8"/>
  <c r="P34" i="8"/>
  <c r="P35" i="8"/>
  <c r="J36" i="8"/>
  <c r="I37" i="8"/>
  <c r="P38" i="8"/>
  <c r="P39" i="8"/>
  <c r="J40" i="8"/>
  <c r="J33" i="8" l="1"/>
  <c r="P20" i="8"/>
  <c r="T16" i="8"/>
  <c r="T21" i="8"/>
  <c r="J25" i="8"/>
  <c r="O21" i="8"/>
  <c r="M24" i="8"/>
  <c r="P17" i="8"/>
  <c r="M16" i="8"/>
  <c r="T14" i="8"/>
  <c r="T4" i="8"/>
  <c r="T3" i="8"/>
  <c r="P26" i="8"/>
  <c r="T24" i="8"/>
  <c r="I24" i="8"/>
  <c r="T22" i="8"/>
  <c r="P21" i="8"/>
  <c r="T20" i="8"/>
  <c r="M19" i="8"/>
  <c r="H17" i="8"/>
  <c r="I16" i="8"/>
  <c r="I14" i="8"/>
  <c r="O12" i="8"/>
  <c r="T6" i="8"/>
  <c r="T5" i="8"/>
  <c r="O4" i="8"/>
  <c r="Q3" i="8"/>
  <c r="N24" i="8"/>
  <c r="P28" i="8"/>
  <c r="Q24" i="8"/>
  <c r="H24" i="8"/>
  <c r="H22" i="8"/>
  <c r="K12" i="8"/>
  <c r="P5" i="8"/>
  <c r="M4" i="8"/>
  <c r="T8" i="8"/>
  <c r="T7" i="8"/>
  <c r="S6" i="8"/>
  <c r="I6" i="8"/>
  <c r="K4" i="8"/>
  <c r="L3" i="8"/>
  <c r="O22" i="8"/>
  <c r="I20" i="8"/>
  <c r="T18" i="8"/>
  <c r="O17" i="8"/>
  <c r="P14" i="8"/>
  <c r="T13" i="8"/>
  <c r="T12" i="8"/>
  <c r="T11" i="8"/>
  <c r="T9" i="8"/>
  <c r="O8" i="8"/>
  <c r="M7" i="8"/>
  <c r="K3" i="8"/>
  <c r="I29" i="8"/>
  <c r="T27" i="8"/>
  <c r="T25" i="8"/>
  <c r="R24" i="8"/>
  <c r="L24" i="8"/>
  <c r="M23" i="8"/>
  <c r="M18" i="8"/>
  <c r="M17" i="8"/>
  <c r="P16" i="8"/>
  <c r="M15" i="8"/>
  <c r="M14" i="8"/>
  <c r="P13" i="8"/>
  <c r="M11" i="8"/>
  <c r="P9" i="8"/>
  <c r="K8" i="8"/>
  <c r="M6" i="8"/>
  <c r="N40" i="8"/>
  <c r="P36" i="8"/>
  <c r="I33" i="8"/>
  <c r="T31" i="8"/>
  <c r="I25" i="8"/>
  <c r="K23" i="8"/>
  <c r="O20" i="8"/>
  <c r="H20" i="8"/>
  <c r="H18" i="8"/>
  <c r="O16" i="8"/>
  <c r="H16" i="8"/>
  <c r="O14" i="8"/>
  <c r="H14" i="8"/>
  <c r="M13" i="8"/>
  <c r="S12" i="8"/>
  <c r="H12" i="8"/>
  <c r="O10" i="8"/>
  <c r="H10" i="8"/>
  <c r="M9" i="8"/>
  <c r="S8" i="8"/>
  <c r="H8" i="8"/>
  <c r="O6" i="8"/>
  <c r="H6" i="8"/>
  <c r="M5" i="8"/>
  <c r="S4" i="8"/>
  <c r="H4" i="8"/>
  <c r="P3" i="8"/>
  <c r="I3" i="8"/>
  <c r="T37" i="8"/>
  <c r="J31" i="8"/>
  <c r="I9" i="8"/>
  <c r="I5" i="8"/>
  <c r="O3" i="8"/>
  <c r="G3" i="8"/>
  <c r="I39" i="8"/>
  <c r="J37" i="8"/>
  <c r="I35" i="8"/>
  <c r="P32" i="8"/>
  <c r="I31" i="8"/>
  <c r="I21" i="8"/>
  <c r="S20" i="8"/>
  <c r="T19" i="8"/>
  <c r="O18" i="8"/>
  <c r="T17" i="8"/>
  <c r="I17" i="8"/>
  <c r="S16" i="8"/>
  <c r="K16" i="8"/>
  <c r="T15" i="8"/>
  <c r="S14" i="8"/>
  <c r="K14" i="8"/>
  <c r="M12" i="8"/>
  <c r="S10" i="8"/>
  <c r="K10" i="8"/>
  <c r="M8" i="8"/>
  <c r="S15" i="8"/>
  <c r="K15" i="8"/>
  <c r="O13" i="8"/>
  <c r="H13" i="8"/>
  <c r="P12" i="8"/>
  <c r="I12" i="8"/>
  <c r="S11" i="8"/>
  <c r="K11" i="8"/>
  <c r="O9" i="8"/>
  <c r="H9" i="8"/>
  <c r="P8" i="8"/>
  <c r="I8" i="8"/>
  <c r="S7" i="8"/>
  <c r="K7" i="8"/>
  <c r="O5" i="8"/>
  <c r="H5" i="8"/>
  <c r="P4" i="8"/>
  <c r="I4" i="8"/>
  <c r="S3" i="8"/>
  <c r="M3" i="8"/>
  <c r="H3" i="8"/>
  <c r="P27" i="8"/>
  <c r="S19" i="8"/>
  <c r="K19" i="8"/>
  <c r="T39" i="8"/>
  <c r="T35" i="8"/>
  <c r="P29" i="8"/>
  <c r="J27" i="8"/>
  <c r="P19" i="8"/>
  <c r="I19" i="8"/>
  <c r="S18" i="8"/>
  <c r="K18" i="8"/>
  <c r="P15" i="8"/>
  <c r="I15" i="8"/>
  <c r="P11" i="8"/>
  <c r="I11" i="8"/>
  <c r="P7" i="8"/>
  <c r="I7" i="8"/>
  <c r="T29" i="8"/>
  <c r="J39" i="8"/>
  <c r="J35" i="8"/>
  <c r="P30" i="8"/>
  <c r="P24" i="8"/>
  <c r="O19" i="8"/>
  <c r="H19" i="8"/>
  <c r="P18" i="8"/>
  <c r="I18" i="8"/>
  <c r="S17" i="8"/>
  <c r="K17" i="8"/>
  <c r="O15" i="8"/>
  <c r="H15" i="8"/>
  <c r="S13" i="8"/>
  <c r="K13" i="8"/>
  <c r="O11" i="8"/>
  <c r="H11" i="8"/>
  <c r="S9" i="8"/>
  <c r="K9" i="8"/>
  <c r="O7" i="8"/>
  <c r="H7" i="8"/>
  <c r="S5" i="8"/>
  <c r="K5" i="8"/>
  <c r="R40" i="8"/>
  <c r="G37" i="8"/>
  <c r="K37" i="8"/>
  <c r="O37" i="8"/>
  <c r="S37" i="8"/>
  <c r="F37" i="8"/>
  <c r="L37" i="8"/>
  <c r="Q37" i="8"/>
  <c r="H37" i="8"/>
  <c r="M37" i="8"/>
  <c r="R37" i="8"/>
  <c r="G33" i="8"/>
  <c r="K33" i="8"/>
  <c r="O33" i="8"/>
  <c r="S33" i="8"/>
  <c r="F33" i="8"/>
  <c r="L33" i="8"/>
  <c r="Q33" i="8"/>
  <c r="H33" i="8"/>
  <c r="M33" i="8"/>
  <c r="R33" i="8"/>
  <c r="G31" i="8"/>
  <c r="K31" i="8"/>
  <c r="O31" i="8"/>
  <c r="S31" i="8"/>
  <c r="F31" i="8"/>
  <c r="L31" i="8"/>
  <c r="Q31" i="8"/>
  <c r="H31" i="8"/>
  <c r="M31" i="8"/>
  <c r="R31" i="8"/>
  <c r="G29" i="8"/>
  <c r="K29" i="8"/>
  <c r="O29" i="8"/>
  <c r="S29" i="8"/>
  <c r="F29" i="8"/>
  <c r="L29" i="8"/>
  <c r="Q29" i="8"/>
  <c r="H29" i="8"/>
  <c r="M29" i="8"/>
  <c r="R29" i="8"/>
  <c r="G27" i="8"/>
  <c r="K27" i="8"/>
  <c r="O27" i="8"/>
  <c r="S27" i="8"/>
  <c r="F27" i="8"/>
  <c r="L27" i="8"/>
  <c r="Q27" i="8"/>
  <c r="H27" i="8"/>
  <c r="M27" i="8"/>
  <c r="R27" i="8"/>
  <c r="G25" i="8"/>
  <c r="K25" i="8"/>
  <c r="O25" i="8"/>
  <c r="S25" i="8"/>
  <c r="F25" i="8"/>
  <c r="L25" i="8"/>
  <c r="Q25" i="8"/>
  <c r="H25" i="8"/>
  <c r="M25" i="8"/>
  <c r="R25" i="8"/>
  <c r="F23" i="8"/>
  <c r="J23" i="8"/>
  <c r="N23" i="8"/>
  <c r="R23" i="8"/>
  <c r="G23" i="8"/>
  <c r="L23" i="8"/>
  <c r="Q23" i="8"/>
  <c r="H23" i="8"/>
  <c r="O23" i="8"/>
  <c r="I23" i="8"/>
  <c r="P23" i="8"/>
  <c r="G40" i="8"/>
  <c r="K40" i="8"/>
  <c r="O40" i="8"/>
  <c r="S40" i="8"/>
  <c r="F40" i="8"/>
  <c r="L40" i="8"/>
  <c r="Q40" i="8"/>
  <c r="H40" i="8"/>
  <c r="G38" i="8"/>
  <c r="K38" i="8"/>
  <c r="O38" i="8"/>
  <c r="S38" i="8"/>
  <c r="F38" i="8"/>
  <c r="L38" i="8"/>
  <c r="Q38" i="8"/>
  <c r="H38" i="8"/>
  <c r="M38" i="8"/>
  <c r="R38" i="8"/>
  <c r="G36" i="8"/>
  <c r="K36" i="8"/>
  <c r="O36" i="8"/>
  <c r="S36" i="8"/>
  <c r="F36" i="8"/>
  <c r="L36" i="8"/>
  <c r="Q36" i="8"/>
  <c r="H36" i="8"/>
  <c r="M36" i="8"/>
  <c r="R36" i="8"/>
  <c r="G34" i="8"/>
  <c r="K34" i="8"/>
  <c r="O34" i="8"/>
  <c r="S34" i="8"/>
  <c r="F34" i="8"/>
  <c r="L34" i="8"/>
  <c r="Q34" i="8"/>
  <c r="H34" i="8"/>
  <c r="M34" i="8"/>
  <c r="R34" i="8"/>
  <c r="G32" i="8"/>
  <c r="K32" i="8"/>
  <c r="O32" i="8"/>
  <c r="S32" i="8"/>
  <c r="F32" i="8"/>
  <c r="L32" i="8"/>
  <c r="Q32" i="8"/>
  <c r="H32" i="8"/>
  <c r="M32" i="8"/>
  <c r="R32" i="8"/>
  <c r="G30" i="8"/>
  <c r="K30" i="8"/>
  <c r="O30" i="8"/>
  <c r="S30" i="8"/>
  <c r="F30" i="8"/>
  <c r="L30" i="8"/>
  <c r="Q30" i="8"/>
  <c r="H30" i="8"/>
  <c r="M30" i="8"/>
  <c r="R30" i="8"/>
  <c r="G28" i="8"/>
  <c r="K28" i="8"/>
  <c r="O28" i="8"/>
  <c r="S28" i="8"/>
  <c r="F28" i="8"/>
  <c r="L28" i="8"/>
  <c r="Q28" i="8"/>
  <c r="H28" i="8"/>
  <c r="M28" i="8"/>
  <c r="R28" i="8"/>
  <c r="G26" i="8"/>
  <c r="K26" i="8"/>
  <c r="O26" i="8"/>
  <c r="S26" i="8"/>
  <c r="F26" i="8"/>
  <c r="L26" i="8"/>
  <c r="Q26" i="8"/>
  <c r="H26" i="8"/>
  <c r="M26" i="8"/>
  <c r="R26" i="8"/>
  <c r="T40" i="8"/>
  <c r="M40" i="8"/>
  <c r="N38" i="8"/>
  <c r="N36" i="8"/>
  <c r="N34" i="8"/>
  <c r="N32" i="8"/>
  <c r="N30" i="8"/>
  <c r="N28" i="8"/>
  <c r="N26" i="8"/>
  <c r="G39" i="8"/>
  <c r="K39" i="8"/>
  <c r="O39" i="8"/>
  <c r="S39" i="8"/>
  <c r="F39" i="8"/>
  <c r="L39" i="8"/>
  <c r="Q39" i="8"/>
  <c r="H39" i="8"/>
  <c r="M39" i="8"/>
  <c r="R39" i="8"/>
  <c r="J38" i="8"/>
  <c r="P37" i="8"/>
  <c r="G35" i="8"/>
  <c r="K35" i="8"/>
  <c r="O35" i="8"/>
  <c r="S35" i="8"/>
  <c r="F35" i="8"/>
  <c r="L35" i="8"/>
  <c r="Q35" i="8"/>
  <c r="H35" i="8"/>
  <c r="M35" i="8"/>
  <c r="R35" i="8"/>
  <c r="J34" i="8"/>
  <c r="P33" i="8"/>
  <c r="P40" i="8"/>
  <c r="I40" i="8"/>
  <c r="N39" i="8"/>
  <c r="T38" i="8"/>
  <c r="I38" i="8"/>
  <c r="N37" i="8"/>
  <c r="T36" i="8"/>
  <c r="I36" i="8"/>
  <c r="N35" i="8"/>
  <c r="T34" i="8"/>
  <c r="I34" i="8"/>
  <c r="N33" i="8"/>
  <c r="T32" i="8"/>
  <c r="I32" i="8"/>
  <c r="N31" i="8"/>
  <c r="T30" i="8"/>
  <c r="I30" i="8"/>
  <c r="N29" i="8"/>
  <c r="T28" i="8"/>
  <c r="I28" i="8"/>
  <c r="N27" i="8"/>
  <c r="T26" i="8"/>
  <c r="I26" i="8"/>
  <c r="N25" i="8"/>
  <c r="S23" i="8"/>
  <c r="F22" i="8"/>
  <c r="J22" i="8"/>
  <c r="N22" i="8"/>
  <c r="R22" i="8"/>
  <c r="G22" i="8"/>
  <c r="L22" i="8"/>
  <c r="Q22" i="8"/>
  <c r="I22" i="8"/>
  <c r="P22" i="8"/>
  <c r="K22" i="8"/>
  <c r="S22" i="8"/>
  <c r="F21" i="8"/>
  <c r="J21" i="8"/>
  <c r="N21" i="8"/>
  <c r="R21" i="8"/>
  <c r="G21" i="8"/>
  <c r="L21" i="8"/>
  <c r="Q21" i="8"/>
  <c r="F24" i="8"/>
  <c r="G24" i="8"/>
  <c r="K24" i="8"/>
  <c r="O24" i="8"/>
  <c r="S24" i="8"/>
  <c r="S21" i="8"/>
  <c r="K21" i="8"/>
  <c r="F20" i="8"/>
  <c r="J20" i="8"/>
  <c r="N20" i="8"/>
  <c r="R20" i="8"/>
  <c r="G20" i="8"/>
  <c r="L20" i="8"/>
  <c r="Q20" i="8"/>
  <c r="Q19" i="8"/>
  <c r="L19" i="8"/>
  <c r="Q18" i="8"/>
  <c r="L18" i="8"/>
  <c r="Q17" i="8"/>
  <c r="L17" i="8"/>
  <c r="Q16" i="8"/>
  <c r="L16" i="8"/>
  <c r="Q15" i="8"/>
  <c r="L15" i="8"/>
  <c r="Q14" i="8"/>
  <c r="L14" i="8"/>
  <c r="Q13" i="8"/>
  <c r="L13" i="8"/>
  <c r="Q12" i="8"/>
  <c r="L12" i="8"/>
  <c r="Q11" i="8"/>
  <c r="L11" i="8"/>
  <c r="Q10" i="8"/>
  <c r="L10" i="8"/>
  <c r="Q9" i="8"/>
  <c r="L9" i="8"/>
  <c r="Q8" i="8"/>
  <c r="L8" i="8"/>
  <c r="Q7" i="8"/>
  <c r="L7" i="8"/>
  <c r="Q6" i="8"/>
  <c r="L6" i="8"/>
  <c r="Q5" i="8"/>
  <c r="L5" i="8"/>
  <c r="Q4" i="8"/>
  <c r="L4" i="8"/>
  <c r="F19" i="8"/>
  <c r="J19" i="8"/>
  <c r="N19" i="8"/>
  <c r="R19" i="8"/>
  <c r="F18" i="8"/>
  <c r="J18" i="8"/>
  <c r="N18" i="8"/>
  <c r="R18" i="8"/>
  <c r="F17" i="8"/>
  <c r="J17" i="8"/>
  <c r="N17" i="8"/>
  <c r="R17" i="8"/>
  <c r="F16" i="8"/>
  <c r="J16" i="8"/>
  <c r="N16" i="8"/>
  <c r="R16" i="8"/>
  <c r="F15" i="8"/>
  <c r="J15" i="8"/>
  <c r="N15" i="8"/>
  <c r="R15" i="8"/>
  <c r="F14" i="8"/>
  <c r="J14" i="8"/>
  <c r="N14" i="8"/>
  <c r="R14" i="8"/>
  <c r="F13" i="8"/>
  <c r="J13" i="8"/>
  <c r="N13" i="8"/>
  <c r="R13" i="8"/>
  <c r="F12" i="8"/>
  <c r="J12" i="8"/>
  <c r="N12" i="8"/>
  <c r="R12" i="8"/>
  <c r="F11" i="8"/>
  <c r="J11" i="8"/>
  <c r="N11" i="8"/>
  <c r="R11" i="8"/>
  <c r="F10" i="8"/>
  <c r="J10" i="8"/>
  <c r="N10" i="8"/>
  <c r="R10" i="8"/>
  <c r="F9" i="8"/>
  <c r="J9" i="8"/>
  <c r="N9" i="8"/>
  <c r="R9" i="8"/>
  <c r="F8" i="8"/>
  <c r="J8" i="8"/>
  <c r="N8" i="8"/>
  <c r="R8" i="8"/>
  <c r="F7" i="8"/>
  <c r="J7" i="8"/>
  <c r="N7" i="8"/>
  <c r="R7" i="8"/>
  <c r="F6" i="8"/>
  <c r="J6" i="8"/>
  <c r="N6" i="8"/>
  <c r="R6" i="8"/>
  <c r="F5" i="8"/>
  <c r="J5" i="8"/>
  <c r="N5" i="8"/>
  <c r="R5" i="8"/>
  <c r="F4" i="8"/>
  <c r="J4" i="8"/>
  <c r="N4" i="8"/>
  <c r="R4" i="8"/>
  <c r="R3" i="8"/>
  <c r="N3" i="8"/>
  <c r="J3" i="8"/>
  <c r="I6" i="7" l="1"/>
</calcChain>
</file>

<file path=xl/sharedStrings.xml><?xml version="1.0" encoding="utf-8"?>
<sst xmlns="http://schemas.openxmlformats.org/spreadsheetml/2006/main" count="520" uniqueCount="149">
  <si>
    <t>CONTRALORÍA GENERAL DE LA REPÚBLICA</t>
  </si>
  <si>
    <t>Unidad de Estudios Remuneratorios</t>
  </si>
  <si>
    <t>ESCALA ÚNICA DE SUELDOS DECRETO LEY N° 249, DE 1973</t>
  </si>
  <si>
    <t>Grados</t>
  </si>
  <si>
    <t>Sueldo Base</t>
  </si>
  <si>
    <t>Asig. Profesional Ley N° 19.185 art.19°</t>
  </si>
  <si>
    <t>Asig. Resp. Supe. 40% S.B.</t>
  </si>
  <si>
    <t>Asig. Ley 19.185, art.18° (sustitutiva D.L. N° 2.411, de 1978 - D.L. N° 3.551 de 1981 - Ley N° 18.717)</t>
  </si>
  <si>
    <t>Asig. Esp. D.L. N° 3.551 (*)</t>
  </si>
  <si>
    <t>D.L. N° 2.411 de 1978 (*)</t>
  </si>
  <si>
    <t>Ley N° 18.717 - Art. 4 (*)</t>
  </si>
  <si>
    <t>Aut. De Gob. - Jefes Super. Servicios</t>
  </si>
  <si>
    <t>Directivos c/prof</t>
  </si>
  <si>
    <t>Directivos s/prof</t>
  </si>
  <si>
    <t>Profesionales</t>
  </si>
  <si>
    <t>Tec. Admin. y Aux.</t>
  </si>
  <si>
    <t>Art.1 - Art.11</t>
  </si>
  <si>
    <t>Proce Dato</t>
  </si>
  <si>
    <t>Grados Altos</t>
  </si>
  <si>
    <t>Grados Bajos  s/prof</t>
  </si>
  <si>
    <t>Grados Bajos  c/prof</t>
  </si>
  <si>
    <t>A</t>
  </si>
  <si>
    <t>ASIGNACIÓN FAMILIAR</t>
  </si>
  <si>
    <t>B</t>
  </si>
  <si>
    <t>C</t>
  </si>
  <si>
    <t>1-A</t>
  </si>
  <si>
    <t>1-B</t>
  </si>
  <si>
    <t>1-C</t>
  </si>
  <si>
    <t>INGRESO MÍNIMO</t>
  </si>
  <si>
    <t xml:space="preserve">Ingreso MIN MENSUAL     </t>
  </si>
  <si>
    <t xml:space="preserve">Ingreso MIN NO REM     </t>
  </si>
  <si>
    <t xml:space="preserve">I.M.No REM </t>
  </si>
  <si>
    <t>PÉRDIDA DE CAJA LEY N°18.834</t>
  </si>
  <si>
    <t>DTO. 845/74 Hacienda (define tramos)</t>
  </si>
  <si>
    <t xml:space="preserve">1a Cat 15% Gr.31° EUS            </t>
  </si>
  <si>
    <t xml:space="preserve">2a Cat 10% Gr.31° EUS             </t>
  </si>
  <si>
    <t xml:space="preserve">3a Cat  5% Gr.31°  EUS             </t>
  </si>
  <si>
    <t>MOVILIZACIÓN LEY N° 18.834</t>
  </si>
  <si>
    <t xml:space="preserve">1a Cat 40% Gr.31° EUS            </t>
  </si>
  <si>
    <t xml:space="preserve">2a Cat 35% Gr.31° EUS            </t>
  </si>
  <si>
    <t xml:space="preserve">3a Cat 30% Gr.31°  EUS           </t>
  </si>
  <si>
    <t>PARA GDO</t>
  </si>
  <si>
    <t>100% **</t>
  </si>
  <si>
    <t>40%</t>
  </si>
  <si>
    <t>30%</t>
  </si>
  <si>
    <t>20%</t>
  </si>
  <si>
    <t>35%</t>
  </si>
  <si>
    <t>24%</t>
  </si>
  <si>
    <t>A al 4°</t>
  </si>
  <si>
    <t>5° al 10°</t>
  </si>
  <si>
    <t>1-A al 4°</t>
  </si>
  <si>
    <t>11° al 31°</t>
  </si>
  <si>
    <t>Ley 15.076</t>
  </si>
  <si>
    <t>11° al 21°</t>
  </si>
  <si>
    <t>Ad.Honorem</t>
  </si>
  <si>
    <t>22° al 31°</t>
  </si>
  <si>
    <t>VIÁTICO INTERNACIONAL</t>
  </si>
  <si>
    <t>Decreto N° 1, de 1991, Min. Hacienda (Fija monto de viático)</t>
  </si>
  <si>
    <t>(*): Asignaciones que sólo aplican al personal afecto a lo establecido en el inciso final del Art. 18 de la Ley N°19.185.</t>
  </si>
  <si>
    <t>BONIFICACIÓN DE SALUD LEY N° 18.566</t>
  </si>
  <si>
    <t>BONIFICACIÓN COMPENSATORIA PREVISIONAL LEY N° 18.675</t>
  </si>
  <si>
    <t>Autoridades de Gobierno</t>
  </si>
  <si>
    <t>Jefes Superiores de Servicio</t>
  </si>
  <si>
    <t>Directivos Profesionales</t>
  </si>
  <si>
    <t>Directivos No Profesionales</t>
  </si>
  <si>
    <t>No Profesionales</t>
  </si>
  <si>
    <t>Jefes Superiores de Servicios</t>
  </si>
  <si>
    <t>Art.10°</t>
  </si>
  <si>
    <t>Art.11°</t>
  </si>
  <si>
    <t>VIÁTICOS EN MONEDA NACIONAL</t>
  </si>
  <si>
    <t>** Afecto al límite del art. 8 del D.F.L. N° 262, 1977, Min. Hacienda.</t>
  </si>
  <si>
    <t>DFL 262/77 Art. 4 bis, modificada por Ley 20.883</t>
  </si>
  <si>
    <t>Art. 4 DFL 262/77, modif por DS 1.363/92 (Hcda)</t>
  </si>
  <si>
    <t>B y C</t>
  </si>
  <si>
    <t>Nota 1 : Factor de incremento previsional del Art. 2, inciso segundo del D.L. N° 3.501, 1980, es de 13,05%, aplicado sobre el sueldo base, más la asignación de antigüedad, según corresponda.</t>
  </si>
  <si>
    <t>Depto. Previsión Social y Personal</t>
  </si>
  <si>
    <t>Escala Única de Remuneraciones</t>
  </si>
  <si>
    <t>AÑO</t>
  </si>
  <si>
    <t>ESCALAFÓN</t>
  </si>
  <si>
    <t>GRADO</t>
  </si>
  <si>
    <t>ASIGNACIÓN PROFESIONAL</t>
  </si>
  <si>
    <t>UNIDAD MONETARIA</t>
  </si>
  <si>
    <t>SUELDO BASE</t>
  </si>
  <si>
    <t>ASIGNACIÓN PROFESIONAL LEY 19.185 ART. 19</t>
  </si>
  <si>
    <t>ASIGNACIÓN SUSTITUTIVA LEY 19.185 ART. 18</t>
  </si>
  <si>
    <t>ASIGNACIÓN ESPECIAL D.L. 3.551</t>
  </si>
  <si>
    <t>INCREMENTO PREVISIONAL D.L. 3.501</t>
  </si>
  <si>
    <t>BONIFICACIÓN DE PREVISIÓN LEY 18.675 ART. 10</t>
  </si>
  <si>
    <t>BONIFICACIÓN DE SALUD LEY 18.566</t>
  </si>
  <si>
    <t>ASIGNACIÓN DE RESPONSABILIDAD SUPERIOR</t>
  </si>
  <si>
    <t>ASIGNACIÓN DE DIRECCIÓN SUPERIOR</t>
  </si>
  <si>
    <t>ASIGNACIÓN DE GASTOS DE REPRESENTACIÓN</t>
  </si>
  <si>
    <t>ASIGNACIÓN ÚNICA TRIBUTABLE LEY 18.717 ART. 4</t>
  </si>
  <si>
    <t>REMUNERACIONES</t>
  </si>
  <si>
    <t>MINISTRO(A)</t>
  </si>
  <si>
    <t>PESOS</t>
  </si>
  <si>
    <t>SUBSECRETARIO(A)</t>
  </si>
  <si>
    <t>DIRECTIVO</t>
  </si>
  <si>
    <t>PROFESIONAL</t>
  </si>
  <si>
    <t>ADMINISTRATIVO</t>
  </si>
  <si>
    <t>AUXILIAR</t>
  </si>
  <si>
    <t>INCREMENTO POR DESEMPEÑO COLECTIVO  LEY 19.553 ART. 7°</t>
  </si>
  <si>
    <t>INCREMENTO POR DESEMPEÑO INSTITUCIONAL  LEY 19.553 ART. 6°</t>
  </si>
  <si>
    <t>COMPONENTE BASE LEY 19.553 ART. 5°</t>
  </si>
  <si>
    <t>ASIGNACIÓN DE MODERNIZACIÓN MENSUAL</t>
  </si>
  <si>
    <t>CUMPLIMIENTO TOTAL</t>
  </si>
  <si>
    <t>UNIDADD MONETARIA</t>
  </si>
  <si>
    <t>Tabla Asignación de Modernización Mensual</t>
  </si>
  <si>
    <t>15 Bienio (30%)</t>
  </si>
  <si>
    <t>14 Bienio (28%)</t>
  </si>
  <si>
    <t>13 Bienio (26%)</t>
  </si>
  <si>
    <t>12 Bienio (24%)</t>
  </si>
  <si>
    <t>11 Bienio (22%)</t>
  </si>
  <si>
    <t>10 Bienio (20%)</t>
  </si>
  <si>
    <t>9 Bienio (18%)</t>
  </si>
  <si>
    <t>8 Bienio (16%)</t>
  </si>
  <si>
    <t>7 Bienio (14%)</t>
  </si>
  <si>
    <t>6 Bienio (12%)</t>
  </si>
  <si>
    <t>5 Bienio (10%)</t>
  </si>
  <si>
    <t>4 Bienio (8%)</t>
  </si>
  <si>
    <t>3 Bienio (6%)</t>
  </si>
  <si>
    <t>2 Bienio (4%)</t>
  </si>
  <si>
    <t>1 Bienio (2%)</t>
  </si>
  <si>
    <t>Tabla Asignación de Antigüedad</t>
  </si>
  <si>
    <t>Nota 2 : No se incluyen asignaciones de: Direccion Superior del Art. 1° de la Ley N° 19.863; de Antigüedad del Art. 6° de D.L. N° 249, 1974; de Modernización del Art. 1° de la Ley N° 19.553; y de Alta Dirección Pública del Art. sexagésimo quinto de la Ley N° 19.882, por ser en función del nombramiento.</t>
  </si>
  <si>
    <t>LEY N° 21.526</t>
  </si>
  <si>
    <t>Vigencia a contar de 01.12.2022 (12% - $264.000)</t>
  </si>
  <si>
    <t xml:space="preserve">Monto reajuste ley N° </t>
  </si>
  <si>
    <t>OTROS ESTIPENDIOS
(a contar de 01.12.2022)</t>
  </si>
  <si>
    <t xml:space="preserve"> Hasta el 31.05.2022</t>
  </si>
  <si>
    <t>A contar de 01.08.2022</t>
  </si>
  <si>
    <t>Ley N° 21.456 a contar de 01.05.2022</t>
  </si>
  <si>
    <t>Ley N° 21.456 a contar de 01.08.2022</t>
  </si>
  <si>
    <t xml:space="preserve"> Ingreso hasta $ 398.443</t>
  </si>
  <si>
    <t xml:space="preserve"> Ingreso hasta $ 419.414</t>
  </si>
  <si>
    <t xml:space="preserve"> Ingreso entre $ 398.444 y $ 581.968</t>
  </si>
  <si>
    <t xml:space="preserve"> Ingreso entre $ 419.415 y $ 612.598</t>
  </si>
  <si>
    <t xml:space="preserve"> Ingreso entre $ 581.969 y $ 907.672</t>
  </si>
  <si>
    <t xml:space="preserve"> Ingreso entre $ 612.599 y $ 955.444</t>
  </si>
  <si>
    <t xml:space="preserve"> Ingreso superior a $ 907.673</t>
  </si>
  <si>
    <t xml:space="preserve"> Ingreso superior a $ 955.445</t>
  </si>
  <si>
    <t>Sí</t>
  </si>
  <si>
    <t>No</t>
  </si>
  <si>
    <t>DIRECTIVO DECRETO LEY 1608</t>
  </si>
  <si>
    <t>PROFESIONAL DECRETO LEY N° 1608</t>
  </si>
  <si>
    <t>8%*</t>
  </si>
  <si>
    <t>* Porcentaje depende del desempeño del año anteiror</t>
  </si>
  <si>
    <t>TÉCNICO</t>
  </si>
  <si>
    <t>Monto reajuste ley N° 21.526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</si>
</sst>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1" formatCode="_ * #,##0_ ;_ * \-#,##0_ ;_ * &quot;-&quot;_ ;_ @_ "/>
    <numFmt numFmtId="164" formatCode="0.0000%"/>
    <numFmt numFmtId="165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</font>
    <font>
      <sz val="9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64">
    <border>
      <left/>
      <right/>
      <top/>
      <bottom/>
      <diagonal/>
    </border>
    <border>
      <left style="double">
        <color theme="3" tint="0.39994506668294322"/>
      </left>
      <right/>
      <top style="double">
        <color theme="3" tint="0.39994506668294322"/>
      </top>
      <bottom/>
      <diagonal/>
    </border>
    <border>
      <left/>
      <right/>
      <top style="double">
        <color theme="3" tint="0.39994506668294322"/>
      </top>
      <bottom/>
      <diagonal/>
    </border>
    <border>
      <left/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/>
      <top/>
      <bottom/>
      <diagonal/>
    </border>
    <border>
      <left/>
      <right style="double">
        <color theme="3" tint="0.39994506668294322"/>
      </right>
      <top/>
      <bottom/>
      <diagonal/>
    </border>
    <border>
      <left style="double">
        <color theme="3" tint="0.39994506668294322"/>
      </left>
      <right/>
      <top/>
      <bottom style="double">
        <color theme="3" tint="0.39994506668294322"/>
      </bottom>
      <diagonal/>
    </border>
    <border>
      <left/>
      <right/>
      <top/>
      <bottom style="double">
        <color theme="3" tint="0.39994506668294322"/>
      </bottom>
      <diagonal/>
    </border>
    <border>
      <left/>
      <right style="double">
        <color theme="3" tint="0.39994506668294322"/>
      </right>
      <top/>
      <bottom style="double">
        <color theme="3" tint="0.39994506668294322"/>
      </bottom>
      <diagonal/>
    </border>
    <border>
      <left style="double">
        <color theme="3" tint="0.39994506668294322"/>
      </left>
      <right style="hair">
        <color theme="3" tint="0.39994506668294322"/>
      </right>
      <top style="double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double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/>
      <top style="double">
        <color theme="3" tint="0.39994506668294322"/>
      </top>
      <bottom style="hair">
        <color theme="3" tint="0.39994506668294322"/>
      </bottom>
      <diagonal/>
    </border>
    <border>
      <left style="double">
        <color theme="3" tint="0.39988402966399123"/>
      </left>
      <right style="hair">
        <color theme="3" tint="0.39994506668294322"/>
      </right>
      <top style="double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hair">
        <color theme="3" tint="0.39994506668294322"/>
      </bottom>
      <diagonal/>
    </border>
    <border>
      <left style="double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uble">
        <color theme="3" tint="0.39988402966399123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double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double">
        <color theme="3" tint="0.39994506668294322"/>
      </top>
      <bottom style="double">
        <color theme="3" tint="0.39994506668294322"/>
      </bottom>
      <diagonal/>
    </border>
    <border>
      <left style="double">
        <color theme="3" tint="0.39994506668294322"/>
      </left>
      <right/>
      <top style="double">
        <color theme="3" tint="0.39994506668294322"/>
      </top>
      <bottom style="double">
        <color theme="3" tint="0.39991454817346722"/>
      </bottom>
      <diagonal/>
    </border>
    <border>
      <left/>
      <right/>
      <top style="double">
        <color theme="3" tint="0.39994506668294322"/>
      </top>
      <bottom style="double">
        <color theme="3" tint="0.39991454817346722"/>
      </bottom>
      <diagonal/>
    </border>
    <border>
      <left/>
      <right style="double">
        <color theme="3" tint="0.39994506668294322"/>
      </right>
      <top style="double">
        <color theme="3" tint="0.39994506668294322"/>
      </top>
      <bottom style="double">
        <color theme="3" tint="0.39991454817346722"/>
      </bottom>
      <diagonal/>
    </border>
    <border>
      <left style="double">
        <color theme="3" tint="0.39994506668294322"/>
      </left>
      <right/>
      <top style="double">
        <color theme="3" tint="0.39991454817346722"/>
      </top>
      <bottom/>
      <diagonal/>
    </border>
    <border>
      <left/>
      <right/>
      <top style="double">
        <color theme="3" tint="0.39991454817346722"/>
      </top>
      <bottom/>
      <diagonal/>
    </border>
    <border>
      <left/>
      <right style="double">
        <color theme="3" tint="0.39994506668294322"/>
      </right>
      <top style="double">
        <color theme="3" tint="0.39991454817346722"/>
      </top>
      <bottom/>
      <diagonal/>
    </border>
    <border>
      <left style="double">
        <color theme="3" tint="0.39994506668294322"/>
      </left>
      <right/>
      <top/>
      <bottom style="double">
        <color theme="3" tint="0.39991454817346722"/>
      </bottom>
      <diagonal/>
    </border>
    <border>
      <left/>
      <right/>
      <top/>
      <bottom style="double">
        <color theme="3" tint="0.39991454817346722"/>
      </bottom>
      <diagonal/>
    </border>
    <border>
      <left/>
      <right style="double">
        <color theme="3" tint="0.39994506668294322"/>
      </right>
      <top/>
      <bottom style="double">
        <color theme="3" tint="0.39991454817346722"/>
      </bottom>
      <diagonal/>
    </border>
    <border>
      <left style="double">
        <color theme="3" tint="0.39994506668294322"/>
      </left>
      <right/>
      <top style="double">
        <color theme="3" tint="0.39991454817346722"/>
      </top>
      <bottom style="double">
        <color theme="3" tint="0.39991454817346722"/>
      </bottom>
      <diagonal/>
    </border>
    <border>
      <left/>
      <right/>
      <top style="double">
        <color theme="3" tint="0.39991454817346722"/>
      </top>
      <bottom style="double">
        <color theme="3" tint="0.39991454817346722"/>
      </bottom>
      <diagonal/>
    </border>
    <border>
      <left/>
      <right style="double">
        <color theme="3" tint="0.39988402966399123"/>
      </right>
      <top/>
      <bottom/>
      <diagonal/>
    </border>
    <border>
      <left style="double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double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double">
        <color theme="3" tint="0.39994506668294322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double">
        <color theme="3" tint="0.39994506668294322"/>
      </bottom>
      <diagonal/>
    </border>
    <border>
      <left style="double">
        <color theme="3" tint="0.39988402966399123"/>
      </left>
      <right style="hair">
        <color theme="3" tint="0.39994506668294322"/>
      </right>
      <top style="hair">
        <color theme="3" tint="0.39994506668294322"/>
      </top>
      <bottom style="double">
        <color theme="3" tint="0.39994506668294322"/>
      </bottom>
      <diagonal/>
    </border>
    <border>
      <left style="hair">
        <color theme="3" tint="0.39994506668294322"/>
      </left>
      <right style="double">
        <color theme="3" tint="0.39994506668294322"/>
      </right>
      <top style="hair">
        <color theme="3" tint="0.39994506668294322"/>
      </top>
      <bottom style="double">
        <color theme="3" tint="0.39994506668294322"/>
      </bottom>
      <diagonal/>
    </border>
    <border>
      <left style="double">
        <color theme="3" tint="0.39991454817346722"/>
      </left>
      <right style="double">
        <color theme="3" tint="0.39991454817346722"/>
      </right>
      <top style="double">
        <color theme="3" tint="0.39994506668294322"/>
      </top>
      <bottom style="hair">
        <color theme="3" tint="0.39994506668294322"/>
      </bottom>
      <diagonal/>
    </border>
    <border>
      <left/>
      <right style="hair">
        <color theme="3" tint="0.39994506668294322"/>
      </right>
      <top style="double">
        <color theme="3" tint="0.39994506668294322"/>
      </top>
      <bottom style="hair">
        <color theme="3" tint="0.39994506668294322"/>
      </bottom>
      <diagonal/>
    </border>
    <border>
      <left style="double">
        <color theme="3" tint="0.39991454817346722"/>
      </left>
      <right style="double">
        <color theme="3" tint="0.399914548173467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uble">
        <color theme="3" tint="0.39991454817346722"/>
      </right>
      <top/>
      <bottom/>
      <diagonal/>
    </border>
    <border>
      <left/>
      <right/>
      <top/>
      <bottom style="double">
        <color theme="3" tint="0.39988402966399123"/>
      </bottom>
      <diagonal/>
    </border>
    <border>
      <left/>
      <right style="double">
        <color theme="3" tint="0.39994506668294322"/>
      </right>
      <top style="double">
        <color theme="3" tint="0.39991454817346722"/>
      </top>
      <bottom style="double">
        <color theme="3" tint="0.39991454817346722"/>
      </bottom>
      <diagonal/>
    </border>
    <border>
      <left style="double">
        <color theme="3" tint="0.39985351115451523"/>
      </left>
      <right/>
      <top/>
      <bottom/>
      <diagonal/>
    </border>
    <border>
      <left style="double">
        <color theme="3" tint="0.39988402966399123"/>
      </left>
      <right/>
      <top/>
      <bottom/>
      <diagonal/>
    </border>
    <border>
      <left style="double">
        <color theme="3" tint="0.39988402966399123"/>
      </left>
      <right/>
      <top/>
      <bottom style="double">
        <color theme="3" tint="0.39988402966399123"/>
      </bottom>
      <diagonal/>
    </border>
    <border>
      <left/>
      <right style="double">
        <color theme="3" tint="0.39988402966399123"/>
      </right>
      <top/>
      <bottom style="double">
        <color theme="3" tint="0.39988402966399123"/>
      </bottom>
      <diagonal/>
    </border>
    <border>
      <left style="double">
        <color theme="3" tint="0.39988402966399123"/>
      </left>
      <right/>
      <top style="double">
        <color theme="3" tint="0.39991454817346722"/>
      </top>
      <bottom style="double">
        <color theme="3" tint="0.39985351115451523"/>
      </bottom>
      <diagonal/>
    </border>
    <border>
      <left/>
      <right/>
      <top style="double">
        <color theme="3" tint="0.39991454817346722"/>
      </top>
      <bottom style="double">
        <color theme="3" tint="0.39985351115451523"/>
      </bottom>
      <diagonal/>
    </border>
    <border>
      <left/>
      <right style="double">
        <color theme="3" tint="0.39988402966399123"/>
      </right>
      <top style="double">
        <color theme="3" tint="0.39991454817346722"/>
      </top>
      <bottom style="double">
        <color theme="3" tint="0.39985351115451523"/>
      </bottom>
      <diagonal/>
    </border>
    <border>
      <left style="double">
        <color theme="3" tint="0.39994506668294322"/>
      </left>
      <right style="double">
        <color theme="3" tint="0.39988402966399123"/>
      </right>
      <top/>
      <bottom style="double">
        <color theme="3" tint="0.399914548173467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/>
      <top style="double">
        <color theme="3" tint="0.39991454817346722"/>
      </top>
      <bottom style="double">
        <color theme="3" tint="0.39994506668294322"/>
      </bottom>
      <diagonal/>
    </border>
    <border>
      <left/>
      <right/>
      <top style="double">
        <color theme="3" tint="0.39991454817346722"/>
      </top>
      <bottom style="double">
        <color theme="3" tint="0.39994506668294322"/>
      </bottom>
      <diagonal/>
    </border>
    <border>
      <left/>
      <right style="double">
        <color theme="3" tint="0.39994506668294322"/>
      </right>
      <top style="double">
        <color theme="3" tint="0.39991454817346722"/>
      </top>
      <bottom style="double">
        <color theme="3" tint="0.39994506668294322"/>
      </bottom>
      <diagonal/>
    </border>
    <border>
      <left style="double">
        <color theme="3" tint="0.39991454817346722"/>
      </left>
      <right style="double">
        <color theme="3" tint="0.39991454817346722"/>
      </right>
      <top style="hair">
        <color theme="3" tint="0.39994506668294322"/>
      </top>
      <bottom style="double">
        <color theme="3" tint="0.39994506668294322"/>
      </bottom>
      <diagonal/>
    </border>
    <border>
      <left/>
      <right style="hair">
        <color theme="3" tint="0.39994506668294322"/>
      </right>
      <top style="hair">
        <color theme="3" tint="0.39994506668294322"/>
      </top>
      <bottom style="double">
        <color theme="3" tint="0.39994506668294322"/>
      </bottom>
      <diagonal/>
    </border>
    <border>
      <left/>
      <right style="double">
        <color theme="3" tint="0.39988402966399123"/>
      </right>
      <top style="double">
        <color theme="3" tint="0.39994506668294322"/>
      </top>
      <bottom/>
      <diagonal/>
    </border>
    <border>
      <left/>
      <right style="double">
        <color theme="3" tint="0.39988402966399123"/>
      </right>
      <top/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double">
        <color theme="3" tint="0.3999450666829432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19" fillId="0" borderId="0"/>
  </cellStyleXfs>
  <cellXfs count="190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0" fontId="6" fillId="0" borderId="14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/>
    <xf numFmtId="3" fontId="6" fillId="0" borderId="5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7" xfId="0" applyFont="1" applyBorder="1"/>
    <xf numFmtId="3" fontId="6" fillId="0" borderId="8" xfId="0" applyNumberFormat="1" applyFont="1" applyBorder="1" applyAlignment="1">
      <alignment horizontal="right"/>
    </xf>
    <xf numFmtId="0" fontId="6" fillId="0" borderId="27" xfId="0" applyFont="1" applyBorder="1"/>
    <xf numFmtId="3" fontId="6" fillId="0" borderId="28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3" fontId="5" fillId="0" borderId="0" xfId="0" applyNumberFormat="1" applyFont="1"/>
    <xf numFmtId="3" fontId="6" fillId="0" borderId="0" xfId="0" applyNumberFormat="1" applyFont="1"/>
    <xf numFmtId="0" fontId="6" fillId="0" borderId="6" xfId="0" applyFont="1" applyBorder="1"/>
    <xf numFmtId="0" fontId="6" fillId="0" borderId="26" xfId="0" applyFont="1" applyBorder="1"/>
    <xf numFmtId="49" fontId="6" fillId="0" borderId="0" xfId="0" applyNumberFormat="1" applyFont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4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horizontal="center"/>
    </xf>
    <xf numFmtId="3" fontId="6" fillId="0" borderId="5" xfId="0" applyNumberFormat="1" applyFont="1" applyBorder="1"/>
    <xf numFmtId="3" fontId="6" fillId="0" borderId="28" xfId="0" applyNumberFormat="1" applyFont="1" applyBorder="1"/>
    <xf numFmtId="3" fontId="6" fillId="0" borderId="0" xfId="0" applyNumberFormat="1" applyFont="1" applyAlignment="1">
      <alignment horizontal="center"/>
    </xf>
    <xf numFmtId="3" fontId="6" fillId="0" borderId="3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center"/>
    </xf>
    <xf numFmtId="3" fontId="6" fillId="0" borderId="27" xfId="0" applyNumberFormat="1" applyFont="1" applyBorder="1"/>
    <xf numFmtId="0" fontId="6" fillId="0" borderId="31" xfId="0" applyFont="1" applyBorder="1"/>
    <xf numFmtId="0" fontId="6" fillId="0" borderId="5" xfId="0" applyFont="1" applyBorder="1"/>
    <xf numFmtId="0" fontId="6" fillId="0" borderId="45" xfId="0" applyFont="1" applyBorder="1"/>
    <xf numFmtId="49" fontId="6" fillId="0" borderId="5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0" borderId="26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0" fillId="0" borderId="4" xfId="0" applyFont="1" applyBorder="1"/>
    <xf numFmtId="0" fontId="5" fillId="0" borderId="45" xfId="0" applyFont="1" applyBorder="1"/>
    <xf numFmtId="0" fontId="14" fillId="0" borderId="51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right"/>
    </xf>
    <xf numFmtId="3" fontId="15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9" fontId="18" fillId="0" borderId="0" xfId="0" applyNumberFormat="1" applyFont="1" applyAlignment="1">
      <alignment horizontal="center"/>
    </xf>
    <xf numFmtId="0" fontId="18" fillId="0" borderId="0" xfId="0" applyFont="1"/>
    <xf numFmtId="3" fontId="3" fillId="0" borderId="1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0" fontId="12" fillId="0" borderId="0" xfId="0" applyFont="1"/>
    <xf numFmtId="0" fontId="8" fillId="0" borderId="5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41" fontId="12" fillId="0" borderId="0" xfId="0" applyNumberFormat="1" applyFont="1"/>
    <xf numFmtId="0" fontId="8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/>
    <xf numFmtId="3" fontId="10" fillId="0" borderId="0" xfId="0" applyNumberFormat="1" applyFont="1"/>
    <xf numFmtId="3" fontId="8" fillId="0" borderId="5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5" xfId="0" applyNumberFormat="1" applyFont="1" applyBorder="1" applyAlignment="1">
      <alignment horizontal="right"/>
    </xf>
    <xf numFmtId="0" fontId="22" fillId="0" borderId="0" xfId="0" applyFont="1"/>
    <xf numFmtId="0" fontId="6" fillId="0" borderId="57" xfId="0" applyFont="1" applyBorder="1" applyAlignment="1">
      <alignment horizontal="center"/>
    </xf>
    <xf numFmtId="3" fontId="11" fillId="0" borderId="58" xfId="0" applyNumberFormat="1" applyFont="1" applyBorder="1" applyAlignment="1">
      <alignment horizontal="center"/>
    </xf>
    <xf numFmtId="0" fontId="23" fillId="0" borderId="0" xfId="0" applyFont="1"/>
    <xf numFmtId="3" fontId="7" fillId="0" borderId="61" xfId="0" applyNumberFormat="1" applyFont="1" applyBorder="1" applyAlignment="1">
      <alignment horizontal="center"/>
    </xf>
    <xf numFmtId="3" fontId="7" fillId="0" borderId="62" xfId="0" applyNumberFormat="1" applyFont="1" applyBorder="1" applyAlignment="1">
      <alignment horizontal="center"/>
    </xf>
    <xf numFmtId="0" fontId="12" fillId="0" borderId="53" xfId="4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2" xfId="4" applyFont="1" applyBorder="1" applyAlignment="1">
      <alignment horizontal="center"/>
    </xf>
    <xf numFmtId="0" fontId="10" fillId="2" borderId="53" xfId="0" applyFont="1" applyFill="1" applyBorder="1" applyAlignment="1">
      <alignment horizontal="center" vertical="center" wrapText="1"/>
    </xf>
    <xf numFmtId="49" fontId="10" fillId="2" borderId="53" xfId="0" applyNumberFormat="1" applyFont="1" applyFill="1" applyBorder="1" applyAlignment="1">
      <alignment horizontal="center" vertical="center" wrapText="1"/>
    </xf>
    <xf numFmtId="9" fontId="10" fillId="2" borderId="53" xfId="0" applyNumberFormat="1" applyFont="1" applyFill="1" applyBorder="1" applyAlignment="1">
      <alignment horizontal="center" vertical="center" wrapText="1"/>
    </xf>
    <xf numFmtId="10" fontId="10" fillId="2" borderId="53" xfId="0" applyNumberFormat="1" applyFont="1" applyFill="1" applyBorder="1" applyAlignment="1">
      <alignment horizontal="center" vertical="center" wrapText="1"/>
    </xf>
    <xf numFmtId="42" fontId="20" fillId="0" borderId="52" xfId="3" quotePrefix="1" applyFont="1" applyBorder="1" applyAlignment="1">
      <alignment horizontal="center" vertical="center" wrapText="1"/>
    </xf>
    <xf numFmtId="42" fontId="12" fillId="0" borderId="52" xfId="3" applyFont="1" applyBorder="1" applyAlignment="1">
      <alignment horizontal="center"/>
    </xf>
    <xf numFmtId="42" fontId="20" fillId="0" borderId="52" xfId="3" applyFont="1" applyBorder="1" applyAlignment="1">
      <alignment horizontal="right" vertical="center" wrapText="1"/>
    </xf>
    <xf numFmtId="42" fontId="20" fillId="0" borderId="53" xfId="3" quotePrefix="1" applyFont="1" applyBorder="1" applyAlignment="1">
      <alignment horizontal="center" vertical="center" wrapText="1"/>
    </xf>
    <xf numFmtId="42" fontId="12" fillId="0" borderId="53" xfId="3" applyFont="1" applyBorder="1" applyAlignment="1">
      <alignment horizontal="center"/>
    </xf>
    <xf numFmtId="42" fontId="20" fillId="0" borderId="53" xfId="3" applyFont="1" applyBorder="1" applyAlignment="1">
      <alignment horizontal="right" vertical="center" wrapText="1"/>
    </xf>
    <xf numFmtId="41" fontId="20" fillId="0" borderId="63" xfId="0" quotePrefix="1" applyNumberFormat="1" applyFont="1" applyBorder="1" applyAlignment="1">
      <alignment horizontal="right" vertical="center" wrapText="1"/>
    </xf>
    <xf numFmtId="42" fontId="20" fillId="0" borderId="53" xfId="3" quotePrefix="1" applyFont="1" applyBorder="1" applyAlignment="1">
      <alignment horizontal="right" vertical="center" wrapText="1"/>
    </xf>
    <xf numFmtId="42" fontId="12" fillId="0" borderId="53" xfId="3" applyFont="1" applyFill="1" applyBorder="1" applyAlignment="1">
      <alignment horizontal="center"/>
    </xf>
    <xf numFmtId="41" fontId="8" fillId="0" borderId="53" xfId="0" applyNumberFormat="1" applyFont="1" applyBorder="1" applyAlignment="1">
      <alignment horizontal="right" vertical="center"/>
    </xf>
    <xf numFmtId="41" fontId="8" fillId="0" borderId="53" xfId="0" quotePrefix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59" xfId="0" applyNumberFormat="1" applyFont="1" applyBorder="1" applyAlignment="1">
      <alignment horizontal="center" vertical="center" wrapText="1"/>
    </xf>
    <xf numFmtId="3" fontId="3" fillId="0" borderId="6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5" fillId="2" borderId="53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0" fillId="2" borderId="53" xfId="0" applyFont="1" applyFill="1" applyBorder="1" applyAlignment="1">
      <alignment horizontal="center" vertical="center" wrapText="1"/>
    </xf>
    <xf numFmtId="49" fontId="10" fillId="2" borderId="53" xfId="0" applyNumberFormat="1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</cellXfs>
  <cellStyles count="5">
    <cellStyle name="Millares [0] 2" xfId="1" xr:uid="{00000000-0005-0000-0000-000001000000}"/>
    <cellStyle name="Millares 2" xfId="2" xr:uid="{00000000-0005-0000-0000-000002000000}"/>
    <cellStyle name="Moneda [0]" xfId="3" builtinId="7"/>
    <cellStyle name="Normal" xfId="0" builtinId="0"/>
    <cellStyle name="Normal 2" xfId="4" xr:uid="{1D07FB0E-C231-4797-AB79-1671D46FDA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85725</xdr:rowOff>
    </xdr:from>
    <xdr:to>
      <xdr:col>5</xdr:col>
      <xdr:colOff>676274</xdr:colOff>
      <xdr:row>4</xdr:row>
      <xdr:rowOff>126425</xdr:rowOff>
    </xdr:to>
    <xdr:pic>
      <xdr:nvPicPr>
        <xdr:cNvPr id="2" name="1 Imagen" descr="cgr ofici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0" y="85725"/>
          <a:ext cx="819149" cy="821750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647700</xdr:colOff>
      <xdr:row>0</xdr:row>
      <xdr:rowOff>85725</xdr:rowOff>
    </xdr:from>
    <xdr:to>
      <xdr:col>5</xdr:col>
      <xdr:colOff>679449</xdr:colOff>
      <xdr:row>4</xdr:row>
      <xdr:rowOff>116900</xdr:rowOff>
    </xdr:to>
    <xdr:pic>
      <xdr:nvPicPr>
        <xdr:cNvPr id="3" name="1 Imagen" descr="cgr oficial.jpg">
          <a:extLst>
            <a:ext uri="{FF2B5EF4-FFF2-40B4-BE49-F238E27FC236}">
              <a16:creationId xmlns:a16="http://schemas.microsoft.com/office/drawing/2014/main" id="{4D1E52E9-87F9-4C41-A241-550D6B54D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0" y="85725"/>
          <a:ext cx="822324" cy="821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781050</xdr:colOff>
      <xdr:row>0</xdr:row>
      <xdr:rowOff>85725</xdr:rowOff>
    </xdr:from>
    <xdr:to>
      <xdr:col>6</xdr:col>
      <xdr:colOff>704849</xdr:colOff>
      <xdr:row>4</xdr:row>
      <xdr:rowOff>145475</xdr:rowOff>
    </xdr:to>
    <xdr:pic>
      <xdr:nvPicPr>
        <xdr:cNvPr id="3" name="1 Imagen" descr="cgr ofici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7225" y="85725"/>
          <a:ext cx="800099" cy="821750"/>
        </a:xfrm>
        <a:prstGeom prst="rect">
          <a:avLst/>
        </a:prstGeom>
      </xdr:spPr>
    </xdr:pic>
    <xdr:clientData/>
  </xdr:twoCellAnchor>
  <xdr:twoCellAnchor editAs="oneCell">
    <xdr:from>
      <xdr:col>5</xdr:col>
      <xdr:colOff>781050</xdr:colOff>
      <xdr:row>0</xdr:row>
      <xdr:rowOff>85725</xdr:rowOff>
    </xdr:from>
    <xdr:to>
      <xdr:col>6</xdr:col>
      <xdr:colOff>704849</xdr:colOff>
      <xdr:row>4</xdr:row>
      <xdr:rowOff>116900</xdr:rowOff>
    </xdr:to>
    <xdr:pic>
      <xdr:nvPicPr>
        <xdr:cNvPr id="2" name="1 Imagen" descr="cgr oficial.jpg">
          <a:extLst>
            <a:ext uri="{FF2B5EF4-FFF2-40B4-BE49-F238E27FC236}">
              <a16:creationId xmlns:a16="http://schemas.microsoft.com/office/drawing/2014/main" id="{C1D5F64F-D829-48BF-A299-F5AAC39B1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7225" y="85725"/>
          <a:ext cx="800099" cy="82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AE53"/>
  <sheetViews>
    <sheetView tabSelected="1" zoomScale="82" zoomScaleNormal="82" workbookViewId="0">
      <selection activeCell="M12" sqref="M12"/>
    </sheetView>
  </sheetViews>
  <sheetFormatPr baseColWidth="10" defaultColWidth="11.42578125" defaultRowHeight="15" x14ac:dyDescent="0.25"/>
  <cols>
    <col min="1" max="1" width="1.140625" style="1" customWidth="1"/>
    <col min="2" max="2" width="7.140625" style="1" bestFit="1" customWidth="1"/>
    <col min="3" max="3" width="11.5703125" style="1" bestFit="1" customWidth="1"/>
    <col min="4" max="4" width="11.85546875" style="1" bestFit="1" customWidth="1"/>
    <col min="5" max="5" width="11.85546875" style="1" customWidth="1"/>
    <col min="6" max="6" width="14.140625" style="1" customWidth="1"/>
    <col min="7" max="7" width="15.85546875" style="1" customWidth="1"/>
    <col min="8" max="17" width="13.5703125" style="1" customWidth="1"/>
    <col min="18" max="18" width="16" style="1" customWidth="1"/>
    <col min="19" max="19" width="6.5703125" style="97" customWidth="1"/>
    <col min="20" max="20" width="13.85546875" style="1" customWidth="1"/>
    <col min="21" max="21" width="10.42578125" style="1" customWidth="1"/>
    <col min="22" max="23" width="7.42578125" style="1" customWidth="1"/>
    <col min="24" max="24" width="11.5703125" style="1" customWidth="1"/>
    <col min="25" max="25" width="1.140625" style="1" customWidth="1"/>
    <col min="26" max="26" width="10.140625" style="1" customWidth="1"/>
    <col min="27" max="29" width="7.140625" style="1" customWidth="1"/>
    <col min="30" max="30" width="12.140625" style="1" customWidth="1"/>
    <col min="31" max="31" width="3.140625" style="1" customWidth="1"/>
    <col min="32" max="16384" width="11.42578125" style="1"/>
  </cols>
  <sheetData>
    <row r="1" spans="2:31" ht="15.75" thickBot="1" x14ac:dyDescent="0.3"/>
    <row r="2" spans="2:31" ht="15.75" customHeight="1" thickTop="1" x14ac:dyDescent="0.25">
      <c r="C2" s="2"/>
      <c r="D2" s="2"/>
      <c r="F2" s="3"/>
      <c r="G2" s="118" t="s">
        <v>0</v>
      </c>
      <c r="H2" s="119"/>
      <c r="I2" s="119"/>
      <c r="J2" s="119"/>
      <c r="K2" s="119"/>
      <c r="L2" s="119"/>
      <c r="M2" s="120"/>
      <c r="N2" s="2"/>
      <c r="O2" s="2"/>
      <c r="P2" s="2"/>
      <c r="Q2" s="2"/>
      <c r="R2" s="2"/>
      <c r="S2" s="86"/>
      <c r="Z2" s="4"/>
      <c r="AA2" s="5"/>
      <c r="AB2" s="5"/>
      <c r="AC2" s="5"/>
      <c r="AD2" s="5"/>
    </row>
    <row r="3" spans="2:31" x14ac:dyDescent="0.25">
      <c r="C3" s="2"/>
      <c r="D3" s="2"/>
      <c r="F3" s="4"/>
      <c r="G3" s="121" t="s">
        <v>75</v>
      </c>
      <c r="H3" s="122"/>
      <c r="I3" s="122"/>
      <c r="J3" s="122"/>
      <c r="K3" s="122"/>
      <c r="L3" s="122"/>
      <c r="M3" s="123"/>
      <c r="N3" s="2"/>
      <c r="O3" s="2"/>
      <c r="P3" s="2"/>
      <c r="Q3" s="2"/>
      <c r="R3" s="2"/>
      <c r="S3" s="86"/>
      <c r="Z3" s="4"/>
      <c r="AA3" s="5"/>
      <c r="AB3" s="5"/>
      <c r="AC3" s="5"/>
      <c r="AD3" s="5"/>
    </row>
    <row r="4" spans="2:31" ht="15.75" thickBot="1" x14ac:dyDescent="0.3">
      <c r="C4" s="2"/>
      <c r="D4" s="2"/>
      <c r="F4" s="4"/>
      <c r="G4" s="124" t="s">
        <v>1</v>
      </c>
      <c r="H4" s="125"/>
      <c r="I4" s="125"/>
      <c r="J4" s="125"/>
      <c r="K4" s="125"/>
      <c r="L4" s="125"/>
      <c r="M4" s="126"/>
      <c r="N4" s="2"/>
      <c r="O4" s="2"/>
      <c r="P4" s="2"/>
      <c r="Q4" s="2"/>
      <c r="R4" s="2"/>
      <c r="S4" s="86"/>
      <c r="Z4" s="4"/>
      <c r="AA4" s="5"/>
      <c r="AB4" s="5"/>
      <c r="AC4" s="5"/>
      <c r="AD4" s="5"/>
    </row>
    <row r="5" spans="2:31" ht="15.75" thickTop="1" x14ac:dyDescent="0.25">
      <c r="B5" s="3"/>
      <c r="C5" s="2"/>
      <c r="D5" s="2"/>
      <c r="E5" s="2"/>
      <c r="F5" s="2"/>
      <c r="G5" s="2"/>
      <c r="H5" s="2"/>
      <c r="I5" s="2"/>
      <c r="J5" s="2"/>
      <c r="K5" s="2"/>
      <c r="L5" s="4"/>
      <c r="M5" s="2"/>
      <c r="N5" s="2"/>
      <c r="O5" s="2"/>
      <c r="P5" s="2"/>
      <c r="Q5" s="2"/>
      <c r="R5" s="2"/>
      <c r="S5" s="86"/>
      <c r="Z5" s="4"/>
      <c r="AA5" s="3"/>
      <c r="AB5" s="3"/>
      <c r="AC5" s="3"/>
      <c r="AD5" s="3"/>
      <c r="AE5" s="6"/>
    </row>
    <row r="6" spans="2:31" x14ac:dyDescent="0.25">
      <c r="B6" s="3"/>
      <c r="C6" s="2"/>
      <c r="D6" s="2"/>
      <c r="E6" s="2"/>
      <c r="F6" s="5"/>
      <c r="G6" s="5"/>
      <c r="H6" s="5"/>
      <c r="I6" s="2"/>
      <c r="J6" s="2"/>
      <c r="K6" s="2"/>
      <c r="L6" s="4"/>
      <c r="M6" s="2"/>
      <c r="N6" s="2"/>
      <c r="O6" s="2"/>
      <c r="P6" s="2"/>
      <c r="Q6" s="2"/>
      <c r="R6" s="2"/>
      <c r="S6" s="86"/>
      <c r="Z6" s="4"/>
      <c r="AA6" s="3"/>
      <c r="AB6" s="3"/>
      <c r="AC6" s="3"/>
      <c r="AD6" s="3"/>
      <c r="AE6" s="6"/>
    </row>
    <row r="7" spans="2:31" x14ac:dyDescent="0.25">
      <c r="B7" s="3"/>
      <c r="C7" s="2"/>
      <c r="D7" s="2"/>
      <c r="F7" s="127" t="s">
        <v>2</v>
      </c>
      <c r="G7" s="127"/>
      <c r="H7" s="127"/>
      <c r="I7" s="127"/>
      <c r="J7" s="127"/>
      <c r="K7" s="127"/>
      <c r="L7" s="127"/>
      <c r="M7" s="127"/>
      <c r="N7" s="127"/>
      <c r="O7" s="2"/>
      <c r="P7" s="2"/>
      <c r="Q7" s="2"/>
      <c r="R7" s="2"/>
      <c r="S7" s="86"/>
      <c r="Z7" s="4"/>
      <c r="AA7" s="3"/>
      <c r="AB7" s="3"/>
      <c r="AC7" s="3"/>
      <c r="AD7" s="3"/>
      <c r="AE7" s="6"/>
    </row>
    <row r="8" spans="2:31" x14ac:dyDescent="0.25">
      <c r="B8" s="3"/>
      <c r="C8" s="2"/>
      <c r="D8" s="2"/>
      <c r="G8" s="7" t="s">
        <v>125</v>
      </c>
      <c r="H8" s="7"/>
      <c r="I8" s="7" t="s">
        <v>126</v>
      </c>
      <c r="L8" s="7"/>
      <c r="M8" s="7"/>
      <c r="N8" s="7"/>
      <c r="O8" s="2"/>
      <c r="P8" s="2"/>
      <c r="Q8" s="2"/>
      <c r="R8" s="2"/>
      <c r="S8" s="86"/>
      <c r="Z8" s="4"/>
      <c r="AA8" s="3"/>
      <c r="AB8" s="3"/>
      <c r="AC8" s="3"/>
      <c r="AD8" s="3"/>
      <c r="AE8" s="6"/>
    </row>
    <row r="9" spans="2:31" ht="15.75" thickBot="1" x14ac:dyDescent="0.3">
      <c r="B9" s="3"/>
      <c r="C9" s="2"/>
      <c r="D9" s="2"/>
      <c r="E9" s="2"/>
      <c r="F9" s="2"/>
      <c r="G9" s="2"/>
      <c r="H9" s="2"/>
      <c r="I9" s="2"/>
      <c r="J9" s="2"/>
      <c r="K9" s="2"/>
      <c r="L9" s="4"/>
      <c r="M9" s="2"/>
      <c r="N9" s="2"/>
      <c r="O9" s="2"/>
      <c r="P9" s="2"/>
      <c r="Q9" s="2"/>
      <c r="R9" s="2"/>
      <c r="S9" s="86"/>
      <c r="Z9" s="4"/>
      <c r="AB9" s="3"/>
      <c r="AC9" s="3"/>
      <c r="AD9" s="3"/>
      <c r="AE9" s="6"/>
    </row>
    <row r="10" spans="2:31" ht="16.5" customHeight="1" thickTop="1" thickBot="1" x14ac:dyDescent="0.3">
      <c r="B10" s="139" t="s">
        <v>3</v>
      </c>
      <c r="C10" s="141" t="s">
        <v>4</v>
      </c>
      <c r="D10" s="141" t="s">
        <v>5</v>
      </c>
      <c r="E10" s="141" t="s">
        <v>6</v>
      </c>
      <c r="F10" s="143" t="s">
        <v>7</v>
      </c>
      <c r="G10" s="143"/>
      <c r="H10" s="143"/>
      <c r="I10" s="143"/>
      <c r="J10" s="144"/>
      <c r="K10" s="145" t="s">
        <v>127</v>
      </c>
      <c r="L10" s="128" t="s">
        <v>8</v>
      </c>
      <c r="M10" s="141" t="s">
        <v>9</v>
      </c>
      <c r="N10" s="141"/>
      <c r="O10" s="141" t="s">
        <v>10</v>
      </c>
      <c r="P10" s="141"/>
      <c r="Q10" s="141"/>
      <c r="R10" s="147" t="s">
        <v>3</v>
      </c>
      <c r="S10" s="87"/>
      <c r="Z10" s="4"/>
      <c r="AB10" s="3"/>
      <c r="AC10" s="3"/>
      <c r="AD10" s="3"/>
    </row>
    <row r="11" spans="2:31" ht="39.75" thickTop="1" thickBot="1" x14ac:dyDescent="0.3">
      <c r="B11" s="140"/>
      <c r="C11" s="142"/>
      <c r="D11" s="142"/>
      <c r="E11" s="142"/>
      <c r="F11" s="73" t="s">
        <v>11</v>
      </c>
      <c r="G11" s="73" t="s">
        <v>12</v>
      </c>
      <c r="H11" s="73" t="s">
        <v>13</v>
      </c>
      <c r="I11" s="73" t="s">
        <v>14</v>
      </c>
      <c r="J11" s="76" t="s">
        <v>15</v>
      </c>
      <c r="K11" s="146"/>
      <c r="L11" s="129"/>
      <c r="M11" s="73" t="s">
        <v>16</v>
      </c>
      <c r="N11" s="73" t="s">
        <v>17</v>
      </c>
      <c r="O11" s="73" t="s">
        <v>18</v>
      </c>
      <c r="P11" s="73" t="s">
        <v>19</v>
      </c>
      <c r="Q11" s="73" t="s">
        <v>20</v>
      </c>
      <c r="R11" s="148"/>
      <c r="S11" s="69"/>
      <c r="T11" s="149" t="s">
        <v>128</v>
      </c>
      <c r="U11" s="150"/>
      <c r="V11" s="150"/>
      <c r="W11" s="150"/>
      <c r="X11" s="150"/>
      <c r="Y11" s="150"/>
      <c r="Z11" s="150"/>
      <c r="AA11" s="150"/>
      <c r="AB11" s="150"/>
      <c r="AC11" s="150"/>
      <c r="AD11" s="151"/>
    </row>
    <row r="12" spans="2:31" ht="30" customHeight="1" thickTop="1" thickBot="1" x14ac:dyDescent="0.3">
      <c r="B12" s="8" t="s">
        <v>21</v>
      </c>
      <c r="C12" s="9">
        <v>697468</v>
      </c>
      <c r="D12" s="9">
        <v>557976</v>
      </c>
      <c r="E12" s="10"/>
      <c r="F12" s="9">
        <v>1668117</v>
      </c>
      <c r="G12" s="9"/>
      <c r="H12" s="9"/>
      <c r="I12" s="9"/>
      <c r="J12" s="11"/>
      <c r="K12" s="98">
        <v>0</v>
      </c>
      <c r="L12" s="12">
        <v>1627993</v>
      </c>
      <c r="M12" s="9"/>
      <c r="N12" s="9"/>
      <c r="O12" s="9">
        <v>18069</v>
      </c>
      <c r="P12" s="9"/>
      <c r="Q12" s="9"/>
      <c r="R12" s="13" t="s">
        <v>21</v>
      </c>
      <c r="S12" s="70"/>
      <c r="T12" s="133" t="s">
        <v>32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5"/>
    </row>
    <row r="13" spans="2:31" ht="15.75" thickTop="1" x14ac:dyDescent="0.25">
      <c r="B13" s="8" t="s">
        <v>23</v>
      </c>
      <c r="C13" s="9">
        <v>683261</v>
      </c>
      <c r="D13" s="9">
        <v>546612</v>
      </c>
      <c r="E13" s="10"/>
      <c r="F13" s="9">
        <v>1637304</v>
      </c>
      <c r="G13" s="9"/>
      <c r="H13" s="9"/>
      <c r="I13" s="9"/>
      <c r="J13" s="11"/>
      <c r="K13" s="98">
        <v>0</v>
      </c>
      <c r="L13" s="12">
        <v>1597190</v>
      </c>
      <c r="M13" s="9"/>
      <c r="N13" s="9"/>
      <c r="O13" s="9">
        <v>18069</v>
      </c>
      <c r="P13" s="9"/>
      <c r="Q13" s="9"/>
      <c r="R13" s="13" t="s">
        <v>23</v>
      </c>
      <c r="S13" s="70"/>
      <c r="T13" s="130" t="s">
        <v>33</v>
      </c>
      <c r="U13" s="131"/>
      <c r="V13" s="131"/>
      <c r="W13" s="131"/>
      <c r="X13" s="131"/>
      <c r="Y13" s="131"/>
      <c r="Z13" s="131"/>
      <c r="AA13" s="131"/>
      <c r="AB13" s="131"/>
      <c r="AC13" s="131"/>
      <c r="AD13" s="132"/>
    </row>
    <row r="14" spans="2:31" x14ac:dyDescent="0.25">
      <c r="B14" s="8" t="s">
        <v>24</v>
      </c>
      <c r="C14" s="9">
        <v>657282</v>
      </c>
      <c r="D14" s="9">
        <v>525828</v>
      </c>
      <c r="E14" s="10"/>
      <c r="F14" s="9">
        <v>1632677</v>
      </c>
      <c r="G14" s="9"/>
      <c r="H14" s="9"/>
      <c r="I14" s="9"/>
      <c r="J14" s="11"/>
      <c r="K14" s="98">
        <v>0</v>
      </c>
      <c r="L14" s="12">
        <v>1592560</v>
      </c>
      <c r="M14" s="9"/>
      <c r="N14" s="9"/>
      <c r="O14" s="9">
        <v>18069</v>
      </c>
      <c r="P14" s="9"/>
      <c r="Q14" s="9"/>
      <c r="R14" s="13" t="s">
        <v>24</v>
      </c>
      <c r="S14" s="70"/>
      <c r="T14" s="16" t="s">
        <v>34</v>
      </c>
      <c r="U14" s="17"/>
      <c r="V14" s="17"/>
      <c r="W14" s="17"/>
      <c r="X14" s="17"/>
      <c r="Y14" s="17"/>
      <c r="Z14" s="17"/>
      <c r="AA14" s="17"/>
      <c r="AB14" s="26">
        <v>18280.95</v>
      </c>
      <c r="AC14" s="17"/>
      <c r="AD14" s="46"/>
    </row>
    <row r="15" spans="2:31" x14ac:dyDescent="0.25">
      <c r="B15" s="8" t="s">
        <v>25</v>
      </c>
      <c r="C15" s="9">
        <v>655177</v>
      </c>
      <c r="D15" s="9">
        <v>524144</v>
      </c>
      <c r="E15" s="9">
        <v>262071</v>
      </c>
      <c r="F15" s="9">
        <v>1219431</v>
      </c>
      <c r="G15" s="9"/>
      <c r="H15" s="9"/>
      <c r="I15" s="9"/>
      <c r="J15" s="11"/>
      <c r="K15" s="98">
        <v>0</v>
      </c>
      <c r="L15" s="12"/>
      <c r="M15" s="9"/>
      <c r="N15" s="9"/>
      <c r="O15" s="9">
        <v>18069</v>
      </c>
      <c r="P15" s="9"/>
      <c r="Q15" s="9"/>
      <c r="R15" s="13" t="s">
        <v>25</v>
      </c>
      <c r="S15" s="70"/>
      <c r="T15" s="16" t="s">
        <v>35</v>
      </c>
      <c r="U15" s="17"/>
      <c r="V15" s="17"/>
      <c r="W15" s="17"/>
      <c r="X15" s="17"/>
      <c r="Y15" s="17"/>
      <c r="Z15" s="17"/>
      <c r="AA15" s="17"/>
      <c r="AB15" s="26">
        <v>12187.3</v>
      </c>
      <c r="AC15" s="17"/>
      <c r="AD15" s="46"/>
    </row>
    <row r="16" spans="2:31" ht="15.75" thickBot="1" x14ac:dyDescent="0.3">
      <c r="B16" s="8" t="s">
        <v>26</v>
      </c>
      <c r="C16" s="9">
        <v>774506</v>
      </c>
      <c r="D16" s="9">
        <v>619609</v>
      </c>
      <c r="E16" s="9">
        <v>309802</v>
      </c>
      <c r="F16" s="9">
        <v>1442488</v>
      </c>
      <c r="G16" s="9"/>
      <c r="H16" s="9"/>
      <c r="I16" s="9"/>
      <c r="J16" s="11"/>
      <c r="K16" s="98">
        <v>264000</v>
      </c>
      <c r="L16" s="15"/>
      <c r="M16" s="9"/>
      <c r="N16" s="9"/>
      <c r="O16" s="9">
        <v>21787</v>
      </c>
      <c r="P16" s="9"/>
      <c r="Q16" s="9"/>
      <c r="R16" s="13" t="s">
        <v>26</v>
      </c>
      <c r="S16" s="70"/>
      <c r="T16" s="28" t="s">
        <v>36</v>
      </c>
      <c r="U16" s="22"/>
      <c r="V16" s="22"/>
      <c r="W16" s="22"/>
      <c r="X16" s="22"/>
      <c r="Y16" s="22"/>
      <c r="Z16" s="22"/>
      <c r="AA16" s="22"/>
      <c r="AB16" s="51">
        <v>6093.65</v>
      </c>
      <c r="AC16" s="22"/>
      <c r="AD16" s="47"/>
    </row>
    <row r="17" spans="2:31" ht="16.5" thickTop="1" thickBot="1" x14ac:dyDescent="0.3">
      <c r="B17" s="8" t="s">
        <v>27</v>
      </c>
      <c r="C17" s="9">
        <v>759353</v>
      </c>
      <c r="D17" s="9">
        <v>607484</v>
      </c>
      <c r="E17" s="9">
        <v>303741</v>
      </c>
      <c r="F17" s="9">
        <v>1415210</v>
      </c>
      <c r="G17" s="9">
        <v>1497329</v>
      </c>
      <c r="H17" s="9">
        <v>934365</v>
      </c>
      <c r="I17" s="9"/>
      <c r="J17" s="11"/>
      <c r="K17" s="98">
        <v>264000</v>
      </c>
      <c r="L17" s="15"/>
      <c r="M17" s="9"/>
      <c r="N17" s="9"/>
      <c r="O17" s="9">
        <v>21787</v>
      </c>
      <c r="P17" s="9"/>
      <c r="Q17" s="9"/>
      <c r="R17" s="13" t="s">
        <v>27</v>
      </c>
      <c r="S17" s="70"/>
      <c r="T17" s="133" t="s">
        <v>37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5"/>
    </row>
    <row r="18" spans="2:31" ht="15.75" thickTop="1" x14ac:dyDescent="0.25">
      <c r="B18" s="8">
        <v>2</v>
      </c>
      <c r="C18" s="9">
        <v>744455</v>
      </c>
      <c r="D18" s="9">
        <v>595564</v>
      </c>
      <c r="E18" s="9">
        <v>297782</v>
      </c>
      <c r="F18" s="9">
        <v>1388386</v>
      </c>
      <c r="G18" s="9">
        <v>1387787</v>
      </c>
      <c r="H18" s="9">
        <v>924784</v>
      </c>
      <c r="I18" s="9"/>
      <c r="J18" s="11"/>
      <c r="K18" s="98">
        <v>264000</v>
      </c>
      <c r="L18" s="15"/>
      <c r="M18" s="9"/>
      <c r="N18" s="9"/>
      <c r="O18" s="9">
        <v>21787</v>
      </c>
      <c r="P18" s="9"/>
      <c r="Q18" s="9"/>
      <c r="R18" s="13">
        <v>2</v>
      </c>
      <c r="S18" s="70"/>
      <c r="T18" s="130" t="s">
        <v>33</v>
      </c>
      <c r="U18" s="131"/>
      <c r="V18" s="131"/>
      <c r="W18" s="131"/>
      <c r="X18" s="131"/>
      <c r="Y18" s="131"/>
      <c r="Z18" s="131"/>
      <c r="AA18" s="131"/>
      <c r="AB18" s="131"/>
      <c r="AC18" s="131"/>
      <c r="AD18" s="132"/>
    </row>
    <row r="19" spans="2:31" x14ac:dyDescent="0.25">
      <c r="B19" s="8">
        <v>3</v>
      </c>
      <c r="C19" s="9">
        <v>712050</v>
      </c>
      <c r="D19" s="9">
        <v>569646</v>
      </c>
      <c r="E19" s="9">
        <v>284820</v>
      </c>
      <c r="F19" s="9">
        <v>1330735</v>
      </c>
      <c r="G19" s="9">
        <v>1329519</v>
      </c>
      <c r="H19" s="9">
        <v>927928</v>
      </c>
      <c r="I19" s="9"/>
      <c r="J19" s="11"/>
      <c r="K19" s="98">
        <v>264000</v>
      </c>
      <c r="L19" s="15"/>
      <c r="M19" s="9"/>
      <c r="N19" s="9"/>
      <c r="O19" s="9">
        <v>22088</v>
      </c>
      <c r="P19" s="9"/>
      <c r="Q19" s="9"/>
      <c r="R19" s="13">
        <v>3</v>
      </c>
      <c r="S19" s="70"/>
      <c r="T19" s="16" t="s">
        <v>38</v>
      </c>
      <c r="U19" s="17"/>
      <c r="V19" s="17"/>
      <c r="W19" s="17"/>
      <c r="X19" s="17"/>
      <c r="Y19" s="17"/>
      <c r="Z19" s="17"/>
      <c r="AA19" s="17"/>
      <c r="AB19" s="26">
        <v>48749.2</v>
      </c>
      <c r="AC19" s="17"/>
      <c r="AD19" s="46"/>
    </row>
    <row r="20" spans="2:31" x14ac:dyDescent="0.25">
      <c r="B20" s="8">
        <v>4</v>
      </c>
      <c r="C20" s="9">
        <v>671764</v>
      </c>
      <c r="D20" s="9">
        <v>537408</v>
      </c>
      <c r="E20" s="9">
        <v>268706</v>
      </c>
      <c r="F20" s="9">
        <v>1258217</v>
      </c>
      <c r="G20" s="9">
        <v>1256387</v>
      </c>
      <c r="H20" s="9">
        <v>918384</v>
      </c>
      <c r="I20" s="9">
        <v>1197754</v>
      </c>
      <c r="J20" s="11"/>
      <c r="K20" s="98">
        <v>264000</v>
      </c>
      <c r="L20" s="15"/>
      <c r="M20" s="9"/>
      <c r="N20" s="9"/>
      <c r="O20" s="9">
        <v>22088</v>
      </c>
      <c r="P20" s="9"/>
      <c r="Q20" s="9"/>
      <c r="R20" s="13">
        <v>4</v>
      </c>
      <c r="S20" s="70"/>
      <c r="T20" s="16" t="s">
        <v>39</v>
      </c>
      <c r="U20" s="17"/>
      <c r="V20" s="17"/>
      <c r="W20" s="17"/>
      <c r="X20" s="17"/>
      <c r="Y20" s="17"/>
      <c r="Z20" s="17"/>
      <c r="AA20" s="17"/>
      <c r="AB20" s="26">
        <v>42655.55</v>
      </c>
      <c r="AC20" s="17"/>
      <c r="AD20" s="46"/>
    </row>
    <row r="21" spans="2:31" ht="15.75" thickBot="1" x14ac:dyDescent="0.3">
      <c r="B21" s="8">
        <v>5</v>
      </c>
      <c r="C21" s="9">
        <v>723193</v>
      </c>
      <c r="D21" s="9">
        <v>611253</v>
      </c>
      <c r="E21" s="10"/>
      <c r="F21" s="9">
        <v>1357710</v>
      </c>
      <c r="G21" s="9">
        <v>1410441</v>
      </c>
      <c r="H21" s="9">
        <v>1037189</v>
      </c>
      <c r="I21" s="9">
        <v>1239417</v>
      </c>
      <c r="J21" s="11"/>
      <c r="K21" s="98">
        <v>0</v>
      </c>
      <c r="L21" s="15"/>
      <c r="M21" s="9">
        <v>39825</v>
      </c>
      <c r="N21" s="9"/>
      <c r="O21" s="9">
        <v>25206</v>
      </c>
      <c r="P21" s="9"/>
      <c r="Q21" s="9"/>
      <c r="R21" s="13">
        <v>5</v>
      </c>
      <c r="S21" s="70"/>
      <c r="T21" s="28" t="s">
        <v>40</v>
      </c>
      <c r="U21" s="22"/>
      <c r="V21" s="22"/>
      <c r="W21" s="22"/>
      <c r="X21" s="22"/>
      <c r="Y21" s="22"/>
      <c r="Z21" s="22"/>
      <c r="AA21" s="22"/>
      <c r="AB21" s="51">
        <v>36561.9</v>
      </c>
      <c r="AC21" s="22"/>
      <c r="AD21" s="47"/>
    </row>
    <row r="22" spans="2:31" ht="16.5" thickTop="1" thickBot="1" x14ac:dyDescent="0.3">
      <c r="B22" s="8">
        <v>6</v>
      </c>
      <c r="C22" s="9">
        <v>682204</v>
      </c>
      <c r="D22" s="9">
        <v>545757</v>
      </c>
      <c r="E22" s="10"/>
      <c r="F22" s="9"/>
      <c r="G22" s="9">
        <v>1219060</v>
      </c>
      <c r="H22" s="9">
        <v>966635</v>
      </c>
      <c r="I22" s="9">
        <v>1159446</v>
      </c>
      <c r="J22" s="11"/>
      <c r="K22" s="98">
        <v>0</v>
      </c>
      <c r="L22" s="15"/>
      <c r="M22" s="9">
        <v>39825</v>
      </c>
      <c r="N22" s="9"/>
      <c r="O22" s="9">
        <v>25206</v>
      </c>
      <c r="P22" s="9"/>
      <c r="Q22" s="9"/>
      <c r="R22" s="13">
        <v>6</v>
      </c>
      <c r="S22" s="70"/>
      <c r="T22" s="136" t="s">
        <v>69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8"/>
    </row>
    <row r="23" spans="2:31" ht="15.75" thickTop="1" x14ac:dyDescent="0.25">
      <c r="B23" s="8">
        <v>7</v>
      </c>
      <c r="C23" s="9">
        <v>628824</v>
      </c>
      <c r="D23" s="9">
        <v>497986</v>
      </c>
      <c r="E23" s="24"/>
      <c r="F23" s="9"/>
      <c r="G23" s="9">
        <v>1119507</v>
      </c>
      <c r="H23" s="9">
        <v>894407</v>
      </c>
      <c r="I23" s="9">
        <v>1102455</v>
      </c>
      <c r="J23" s="11"/>
      <c r="K23" s="98">
        <v>0</v>
      </c>
      <c r="L23" s="15"/>
      <c r="M23" s="9">
        <v>39825</v>
      </c>
      <c r="N23" s="9"/>
      <c r="O23" s="9">
        <v>25206</v>
      </c>
      <c r="P23" s="9"/>
      <c r="Q23" s="9"/>
      <c r="R23" s="13">
        <v>7</v>
      </c>
      <c r="S23" s="70"/>
      <c r="T23" s="61" t="s">
        <v>72</v>
      </c>
      <c r="U23" s="17"/>
      <c r="V23" s="17"/>
      <c r="W23" s="17"/>
      <c r="X23" s="53"/>
      <c r="Y23" s="17"/>
      <c r="Z23" s="62" t="s">
        <v>71</v>
      </c>
      <c r="AA23" s="17"/>
      <c r="AB23" s="17"/>
      <c r="AC23" s="17"/>
      <c r="AD23" s="52"/>
    </row>
    <row r="24" spans="2:31" x14ac:dyDescent="0.25">
      <c r="B24" s="8">
        <v>8</v>
      </c>
      <c r="C24" s="9">
        <v>582198</v>
      </c>
      <c r="D24" s="9">
        <v>446636</v>
      </c>
      <c r="E24" s="24"/>
      <c r="F24" s="9"/>
      <c r="G24" s="9">
        <v>1006081</v>
      </c>
      <c r="H24" s="9">
        <v>831237</v>
      </c>
      <c r="I24" s="9">
        <v>995156</v>
      </c>
      <c r="J24" s="11"/>
      <c r="K24" s="98">
        <v>0</v>
      </c>
      <c r="L24" s="15"/>
      <c r="M24" s="9">
        <v>39825</v>
      </c>
      <c r="N24" s="9"/>
      <c r="O24" s="9">
        <v>25206</v>
      </c>
      <c r="P24" s="9"/>
      <c r="Q24" s="9"/>
      <c r="R24" s="13">
        <v>8</v>
      </c>
      <c r="S24" s="70"/>
      <c r="T24" s="16" t="s">
        <v>41</v>
      </c>
      <c r="U24" s="29" t="s">
        <v>42</v>
      </c>
      <c r="V24" s="29" t="s">
        <v>43</v>
      </c>
      <c r="W24" s="29" t="s">
        <v>44</v>
      </c>
      <c r="X24" s="55" t="s">
        <v>45</v>
      </c>
      <c r="Y24" s="17"/>
      <c r="Z24" s="54" t="s">
        <v>41</v>
      </c>
      <c r="AA24" s="29" t="s">
        <v>42</v>
      </c>
      <c r="AB24" s="29" t="s">
        <v>43</v>
      </c>
      <c r="AC24" s="29" t="s">
        <v>46</v>
      </c>
      <c r="AD24" s="30" t="s">
        <v>47</v>
      </c>
      <c r="AE24" s="14"/>
    </row>
    <row r="25" spans="2:31" x14ac:dyDescent="0.25">
      <c r="B25" s="8">
        <v>9</v>
      </c>
      <c r="C25" s="9">
        <v>539018</v>
      </c>
      <c r="D25" s="9">
        <v>404187</v>
      </c>
      <c r="E25" s="24"/>
      <c r="F25" s="9"/>
      <c r="G25" s="9">
        <v>912248</v>
      </c>
      <c r="H25" s="9">
        <v>774721</v>
      </c>
      <c r="I25" s="9">
        <v>913586</v>
      </c>
      <c r="J25" s="11">
        <v>396680</v>
      </c>
      <c r="K25" s="98">
        <v>0</v>
      </c>
      <c r="L25" s="15"/>
      <c r="M25" s="9">
        <v>39825</v>
      </c>
      <c r="N25" s="9"/>
      <c r="O25" s="9">
        <v>25206</v>
      </c>
      <c r="P25" s="9"/>
      <c r="Q25" s="9"/>
      <c r="R25" s="13">
        <v>9</v>
      </c>
      <c r="S25" s="70"/>
      <c r="T25" s="16" t="s">
        <v>21</v>
      </c>
      <c r="U25" s="48">
        <v>111595</v>
      </c>
      <c r="V25" s="48">
        <v>44638</v>
      </c>
      <c r="W25" s="48">
        <v>33479</v>
      </c>
      <c r="X25" s="50">
        <v>22319</v>
      </c>
      <c r="Y25" s="17"/>
      <c r="Z25" s="54" t="s">
        <v>48</v>
      </c>
      <c r="AA25" s="19">
        <v>78621</v>
      </c>
      <c r="AB25" s="19">
        <v>31448</v>
      </c>
      <c r="AC25" s="19">
        <v>27517</v>
      </c>
      <c r="AD25" s="49">
        <v>18869</v>
      </c>
      <c r="AE25" s="25"/>
    </row>
    <row r="26" spans="2:31" x14ac:dyDescent="0.25">
      <c r="B26" s="8">
        <v>10</v>
      </c>
      <c r="C26" s="9">
        <v>499127</v>
      </c>
      <c r="D26" s="9">
        <v>365774</v>
      </c>
      <c r="E26" s="24"/>
      <c r="F26" s="9"/>
      <c r="G26" s="9">
        <v>833851</v>
      </c>
      <c r="H26" s="9">
        <v>705825</v>
      </c>
      <c r="I26" s="9">
        <v>835044</v>
      </c>
      <c r="J26" s="11">
        <v>390200</v>
      </c>
      <c r="K26" s="98">
        <v>0</v>
      </c>
      <c r="L26" s="15"/>
      <c r="M26" s="9">
        <v>39825</v>
      </c>
      <c r="N26" s="9">
        <v>39825</v>
      </c>
      <c r="O26" s="9">
        <v>25206</v>
      </c>
      <c r="P26" s="9"/>
      <c r="Q26" s="9"/>
      <c r="R26" s="13">
        <v>10</v>
      </c>
      <c r="S26" s="71"/>
      <c r="T26" s="16" t="s">
        <v>73</v>
      </c>
      <c r="U26" s="48">
        <v>104620</v>
      </c>
      <c r="V26" s="48">
        <v>41848</v>
      </c>
      <c r="W26" s="48">
        <v>31386</v>
      </c>
      <c r="X26" s="50">
        <v>20924</v>
      </c>
      <c r="Y26" s="17"/>
      <c r="Z26" s="54" t="s">
        <v>49</v>
      </c>
      <c r="AA26" s="19">
        <v>72319</v>
      </c>
      <c r="AB26" s="19">
        <v>28928</v>
      </c>
      <c r="AC26" s="19">
        <v>25312</v>
      </c>
      <c r="AD26" s="49">
        <v>17357</v>
      </c>
      <c r="AE26" s="26"/>
    </row>
    <row r="27" spans="2:31" x14ac:dyDescent="0.25">
      <c r="B27" s="8">
        <v>11</v>
      </c>
      <c r="C27" s="9">
        <v>462185</v>
      </c>
      <c r="D27" s="9">
        <v>331024</v>
      </c>
      <c r="E27" s="24"/>
      <c r="F27" s="9"/>
      <c r="G27" s="9">
        <v>765645</v>
      </c>
      <c r="H27" s="9">
        <v>644719</v>
      </c>
      <c r="I27" s="9">
        <v>766692</v>
      </c>
      <c r="J27" s="11">
        <v>381689</v>
      </c>
      <c r="K27" s="98">
        <v>0</v>
      </c>
      <c r="L27" s="15"/>
      <c r="M27" s="9">
        <v>36630</v>
      </c>
      <c r="N27" s="9">
        <v>36630</v>
      </c>
      <c r="O27" s="9">
        <v>25206</v>
      </c>
      <c r="P27" s="9"/>
      <c r="Q27" s="9"/>
      <c r="R27" s="13">
        <v>11</v>
      </c>
      <c r="S27" s="71"/>
      <c r="T27" s="16" t="s">
        <v>50</v>
      </c>
      <c r="U27" s="48">
        <v>78621</v>
      </c>
      <c r="V27" s="48">
        <v>31448</v>
      </c>
      <c r="W27" s="48">
        <v>23586</v>
      </c>
      <c r="X27" s="50">
        <v>15724</v>
      </c>
      <c r="Y27" s="17"/>
      <c r="Z27" s="54" t="s">
        <v>51</v>
      </c>
      <c r="AA27" s="19">
        <v>58692</v>
      </c>
      <c r="AB27" s="19">
        <v>23477</v>
      </c>
      <c r="AC27" s="19">
        <v>20542</v>
      </c>
      <c r="AD27" s="49">
        <v>14086</v>
      </c>
      <c r="AE27" s="26"/>
    </row>
    <row r="28" spans="2:31" x14ac:dyDescent="0.25">
      <c r="B28" s="8">
        <v>12</v>
      </c>
      <c r="C28" s="9">
        <v>427946</v>
      </c>
      <c r="D28" s="9">
        <v>299568</v>
      </c>
      <c r="E28" s="24"/>
      <c r="F28" s="9"/>
      <c r="G28" s="9">
        <v>703077</v>
      </c>
      <c r="H28" s="9">
        <v>580696</v>
      </c>
      <c r="I28" s="9">
        <v>703969</v>
      </c>
      <c r="J28" s="11">
        <v>373405</v>
      </c>
      <c r="K28" s="98">
        <v>0</v>
      </c>
      <c r="L28" s="15"/>
      <c r="M28" s="9">
        <v>33895</v>
      </c>
      <c r="N28" s="9">
        <v>33895</v>
      </c>
      <c r="O28" s="9"/>
      <c r="P28" s="9">
        <v>72112</v>
      </c>
      <c r="Q28" s="9">
        <v>25206</v>
      </c>
      <c r="R28" s="13">
        <v>12</v>
      </c>
      <c r="S28" s="71"/>
      <c r="T28" s="16" t="s">
        <v>49</v>
      </c>
      <c r="U28" s="48">
        <v>72319</v>
      </c>
      <c r="V28" s="48">
        <v>28928</v>
      </c>
      <c r="W28" s="48">
        <v>21696</v>
      </c>
      <c r="X28" s="50">
        <v>14464</v>
      </c>
      <c r="Y28" s="17"/>
      <c r="Z28" s="54" t="s">
        <v>52</v>
      </c>
      <c r="AA28" s="65">
        <v>58692</v>
      </c>
      <c r="AB28" s="65">
        <v>23477</v>
      </c>
      <c r="AC28" s="65">
        <v>20542</v>
      </c>
      <c r="AD28" s="66">
        <v>14086</v>
      </c>
      <c r="AE28" s="26"/>
    </row>
    <row r="29" spans="2:31" x14ac:dyDescent="0.25">
      <c r="B29" s="8">
        <v>13</v>
      </c>
      <c r="C29" s="9">
        <v>396234</v>
      </c>
      <c r="D29" s="9">
        <v>269046</v>
      </c>
      <c r="E29" s="10"/>
      <c r="F29" s="9"/>
      <c r="G29" s="9">
        <v>652149</v>
      </c>
      <c r="H29" s="9">
        <v>551398</v>
      </c>
      <c r="I29" s="9">
        <v>652891</v>
      </c>
      <c r="J29" s="11">
        <v>366125</v>
      </c>
      <c r="K29" s="98">
        <v>0</v>
      </c>
      <c r="L29" s="15"/>
      <c r="M29" s="9">
        <v>31602</v>
      </c>
      <c r="N29" s="9">
        <v>31602</v>
      </c>
      <c r="O29" s="9"/>
      <c r="P29" s="9">
        <v>81931</v>
      </c>
      <c r="Q29" s="9">
        <v>25206</v>
      </c>
      <c r="R29" s="13">
        <v>13</v>
      </c>
      <c r="S29" s="71"/>
      <c r="T29" s="16" t="s">
        <v>53</v>
      </c>
      <c r="U29" s="48">
        <v>58692</v>
      </c>
      <c r="V29" s="48">
        <v>23477</v>
      </c>
      <c r="W29" s="48">
        <v>17608</v>
      </c>
      <c r="X29" s="50">
        <v>11738</v>
      </c>
      <c r="Y29" s="17"/>
      <c r="Z29" s="54" t="s">
        <v>54</v>
      </c>
      <c r="AA29" s="65">
        <v>28031</v>
      </c>
      <c r="AB29" s="65">
        <v>11212</v>
      </c>
      <c r="AC29" s="65">
        <v>9811</v>
      </c>
      <c r="AD29" s="66">
        <v>6727</v>
      </c>
      <c r="AE29" s="14"/>
    </row>
    <row r="30" spans="2:31" x14ac:dyDescent="0.25">
      <c r="B30" s="8">
        <v>14</v>
      </c>
      <c r="C30" s="9">
        <v>366825</v>
      </c>
      <c r="D30" s="9">
        <v>241517</v>
      </c>
      <c r="E30" s="10"/>
      <c r="F30" s="9"/>
      <c r="G30" s="9">
        <v>598922</v>
      </c>
      <c r="H30" s="9">
        <v>527210</v>
      </c>
      <c r="I30" s="9">
        <v>599516</v>
      </c>
      <c r="J30" s="11">
        <v>358676</v>
      </c>
      <c r="K30" s="98">
        <v>0</v>
      </c>
      <c r="L30" s="15"/>
      <c r="M30" s="9">
        <v>16037</v>
      </c>
      <c r="N30" s="9">
        <v>29309</v>
      </c>
      <c r="O30" s="9"/>
      <c r="P30" s="9">
        <v>93798</v>
      </c>
      <c r="Q30" s="9">
        <v>25206</v>
      </c>
      <c r="R30" s="13">
        <v>14</v>
      </c>
      <c r="S30" s="71"/>
      <c r="T30" s="16" t="s">
        <v>55</v>
      </c>
      <c r="U30" s="48">
        <v>43654</v>
      </c>
      <c r="V30" s="48">
        <v>17462</v>
      </c>
      <c r="W30" s="48">
        <v>13096</v>
      </c>
      <c r="X30" s="50">
        <v>8731</v>
      </c>
      <c r="Y30" s="17"/>
      <c r="Z30" s="54"/>
      <c r="AA30" s="19"/>
      <c r="AB30" s="19"/>
      <c r="AC30" s="19"/>
      <c r="AD30" s="49"/>
      <c r="AE30" s="25"/>
    </row>
    <row r="31" spans="2:31" ht="15" customHeight="1" x14ac:dyDescent="0.25">
      <c r="B31" s="8">
        <v>15</v>
      </c>
      <c r="C31" s="9">
        <v>339677</v>
      </c>
      <c r="D31" s="9">
        <v>216794</v>
      </c>
      <c r="E31" s="10"/>
      <c r="F31" s="9"/>
      <c r="G31" s="9">
        <v>550084</v>
      </c>
      <c r="H31" s="9">
        <v>494072</v>
      </c>
      <c r="I31" s="9">
        <v>550527</v>
      </c>
      <c r="J31" s="11">
        <v>346371</v>
      </c>
      <c r="K31" s="98">
        <v>0</v>
      </c>
      <c r="L31" s="15"/>
      <c r="M31" s="9">
        <v>27013</v>
      </c>
      <c r="N31" s="9">
        <v>27013</v>
      </c>
      <c r="O31" s="9"/>
      <c r="P31" s="9">
        <v>93798</v>
      </c>
      <c r="Q31" s="9">
        <v>25206</v>
      </c>
      <c r="R31" s="13">
        <v>15</v>
      </c>
      <c r="S31" s="71"/>
      <c r="T31" s="16" t="s">
        <v>52</v>
      </c>
      <c r="U31" s="48">
        <v>58692</v>
      </c>
      <c r="V31" s="48">
        <v>23477</v>
      </c>
      <c r="W31" s="48">
        <v>17608</v>
      </c>
      <c r="X31" s="50">
        <v>11738</v>
      </c>
      <c r="Y31" s="17"/>
      <c r="Z31" s="152" t="s">
        <v>70</v>
      </c>
      <c r="AA31" s="153"/>
      <c r="AB31" s="153"/>
      <c r="AC31" s="153"/>
      <c r="AD31" s="154"/>
    </row>
    <row r="32" spans="2:31" ht="15.75" thickBot="1" x14ac:dyDescent="0.3">
      <c r="B32" s="8">
        <v>16</v>
      </c>
      <c r="C32" s="9">
        <v>314453</v>
      </c>
      <c r="D32" s="9">
        <v>194612</v>
      </c>
      <c r="E32" s="10"/>
      <c r="F32" s="9"/>
      <c r="G32" s="9">
        <v>505250</v>
      </c>
      <c r="H32" s="9">
        <v>460662</v>
      </c>
      <c r="I32" s="9">
        <v>505549</v>
      </c>
      <c r="J32" s="11">
        <v>329122</v>
      </c>
      <c r="K32" s="98">
        <v>0</v>
      </c>
      <c r="L32" s="15"/>
      <c r="M32" s="9">
        <v>25180</v>
      </c>
      <c r="N32" s="9">
        <v>25180</v>
      </c>
      <c r="O32" s="9"/>
      <c r="P32" s="9">
        <v>91027</v>
      </c>
      <c r="Q32" s="9">
        <v>25206</v>
      </c>
      <c r="R32" s="13">
        <v>16</v>
      </c>
      <c r="S32" s="71"/>
      <c r="T32" s="27" t="s">
        <v>54</v>
      </c>
      <c r="U32" s="64">
        <v>28031</v>
      </c>
      <c r="V32" s="64">
        <v>11212</v>
      </c>
      <c r="W32" s="64">
        <v>8409</v>
      </c>
      <c r="X32" s="56">
        <v>5606</v>
      </c>
      <c r="Y32" s="63"/>
      <c r="Z32" s="155"/>
      <c r="AA32" s="156"/>
      <c r="AB32" s="156"/>
      <c r="AC32" s="156"/>
      <c r="AD32" s="157"/>
      <c r="AE32" s="26"/>
    </row>
    <row r="33" spans="2:31" ht="15" customHeight="1" thickTop="1" x14ac:dyDescent="0.25">
      <c r="B33" s="8">
        <v>17</v>
      </c>
      <c r="C33" s="9">
        <v>291170</v>
      </c>
      <c r="D33" s="9">
        <v>174701</v>
      </c>
      <c r="E33" s="10"/>
      <c r="F33" s="9"/>
      <c r="G33" s="9">
        <v>464116</v>
      </c>
      <c r="H33" s="9">
        <v>432494</v>
      </c>
      <c r="I33" s="9">
        <v>464268</v>
      </c>
      <c r="J33" s="11">
        <v>323683</v>
      </c>
      <c r="K33" s="98">
        <v>0</v>
      </c>
      <c r="L33" s="15"/>
      <c r="M33" s="9">
        <v>22891</v>
      </c>
      <c r="N33" s="9">
        <v>22891</v>
      </c>
      <c r="O33" s="9"/>
      <c r="P33" s="9">
        <v>91027</v>
      </c>
      <c r="Q33" s="9">
        <v>25206</v>
      </c>
      <c r="R33" s="13">
        <v>17</v>
      </c>
      <c r="S33" s="71"/>
      <c r="T33" s="158" t="s">
        <v>56</v>
      </c>
      <c r="U33" s="159"/>
      <c r="V33" s="159"/>
      <c r="W33" s="159"/>
      <c r="X33" s="159"/>
      <c r="Y33" s="159"/>
      <c r="Z33" s="159"/>
      <c r="AA33" s="159"/>
      <c r="AB33" s="159"/>
      <c r="AC33" s="159"/>
      <c r="AD33" s="160"/>
      <c r="AE33" s="26"/>
    </row>
    <row r="34" spans="2:31" ht="15" customHeight="1" thickBot="1" x14ac:dyDescent="0.3">
      <c r="B34" s="8">
        <v>18</v>
      </c>
      <c r="C34" s="9">
        <v>269610</v>
      </c>
      <c r="D34" s="9">
        <v>152629</v>
      </c>
      <c r="E34" s="10"/>
      <c r="F34" s="9"/>
      <c r="G34" s="9">
        <v>461866</v>
      </c>
      <c r="H34" s="9">
        <v>406524</v>
      </c>
      <c r="I34" s="9">
        <v>461866</v>
      </c>
      <c r="J34" s="11">
        <v>316005</v>
      </c>
      <c r="K34" s="98">
        <v>0</v>
      </c>
      <c r="L34" s="15"/>
      <c r="M34" s="9">
        <v>34815</v>
      </c>
      <c r="N34" s="9">
        <v>34815</v>
      </c>
      <c r="O34" s="9"/>
      <c r="P34" s="9">
        <v>91027</v>
      </c>
      <c r="Q34" s="9">
        <v>81931</v>
      </c>
      <c r="R34" s="13">
        <v>18</v>
      </c>
      <c r="S34" s="70"/>
      <c r="T34" s="161" t="s">
        <v>57</v>
      </c>
      <c r="U34" s="162"/>
      <c r="V34" s="162"/>
      <c r="W34" s="162"/>
      <c r="X34" s="162"/>
      <c r="Y34" s="162"/>
      <c r="Z34" s="162"/>
      <c r="AA34" s="162"/>
      <c r="AB34" s="162"/>
      <c r="AC34" s="162"/>
      <c r="AD34" s="163"/>
      <c r="AE34" s="26"/>
    </row>
    <row r="35" spans="2:31" ht="15.75" customHeight="1" thickTop="1" thickBot="1" x14ac:dyDescent="0.3">
      <c r="B35" s="8">
        <v>19</v>
      </c>
      <c r="C35" s="9">
        <v>251979</v>
      </c>
      <c r="D35" s="9">
        <v>121132</v>
      </c>
      <c r="E35" s="10"/>
      <c r="F35" s="9"/>
      <c r="G35" s="9"/>
      <c r="H35" s="9"/>
      <c r="I35" s="9">
        <v>432882</v>
      </c>
      <c r="J35" s="11">
        <v>307318</v>
      </c>
      <c r="K35" s="98">
        <v>0</v>
      </c>
      <c r="L35" s="15"/>
      <c r="M35" s="9">
        <v>38926</v>
      </c>
      <c r="N35" s="9">
        <v>38926</v>
      </c>
      <c r="O35" s="9"/>
      <c r="P35" s="9">
        <v>96403</v>
      </c>
      <c r="Q35" s="9">
        <v>93830</v>
      </c>
      <c r="R35" s="13">
        <v>19</v>
      </c>
      <c r="S35" s="70"/>
      <c r="T35" s="59"/>
      <c r="U35" s="59"/>
      <c r="V35" s="59"/>
      <c r="W35" s="59"/>
      <c r="X35" s="59"/>
      <c r="Y35" s="60"/>
      <c r="Z35" s="60"/>
      <c r="AA35" s="60"/>
      <c r="AB35" s="60"/>
      <c r="AC35" s="60"/>
      <c r="AD35" s="60"/>
    </row>
    <row r="36" spans="2:31" ht="15.75" customHeight="1" thickTop="1" thickBot="1" x14ac:dyDescent="0.3">
      <c r="B36" s="8">
        <v>20</v>
      </c>
      <c r="C36" s="9">
        <v>235505</v>
      </c>
      <c r="D36" s="9">
        <v>96142</v>
      </c>
      <c r="E36" s="10"/>
      <c r="F36" s="9"/>
      <c r="G36" s="9"/>
      <c r="H36" s="9"/>
      <c r="I36" s="9">
        <v>404360</v>
      </c>
      <c r="J36" s="11">
        <v>290672</v>
      </c>
      <c r="K36" s="98">
        <v>0</v>
      </c>
      <c r="L36" s="15"/>
      <c r="M36" s="9">
        <v>33895</v>
      </c>
      <c r="N36" s="9">
        <v>33895</v>
      </c>
      <c r="O36" s="9"/>
      <c r="P36" s="9">
        <v>96403</v>
      </c>
      <c r="Q36" s="9">
        <v>93830</v>
      </c>
      <c r="R36" s="13">
        <v>20</v>
      </c>
      <c r="S36" s="70"/>
      <c r="T36" s="164" t="s">
        <v>129</v>
      </c>
      <c r="U36" s="165"/>
      <c r="V36" s="165"/>
      <c r="W36" s="165"/>
      <c r="X36" s="166"/>
      <c r="Z36" s="164" t="s">
        <v>130</v>
      </c>
      <c r="AA36" s="165"/>
      <c r="AB36" s="165"/>
      <c r="AC36" s="165"/>
      <c r="AD36" s="166"/>
    </row>
    <row r="37" spans="2:31" ht="15" customHeight="1" thickTop="1" thickBot="1" x14ac:dyDescent="0.3">
      <c r="B37" s="8">
        <v>21</v>
      </c>
      <c r="C37" s="9">
        <v>220077</v>
      </c>
      <c r="D37" s="9">
        <v>76303</v>
      </c>
      <c r="E37" s="10"/>
      <c r="F37" s="9"/>
      <c r="G37" s="9"/>
      <c r="H37" s="9"/>
      <c r="I37" s="9">
        <v>377811</v>
      </c>
      <c r="J37" s="11">
        <v>278693</v>
      </c>
      <c r="K37" s="98">
        <v>0</v>
      </c>
      <c r="L37" s="15"/>
      <c r="M37" s="9">
        <v>31602</v>
      </c>
      <c r="N37" s="9">
        <v>31602</v>
      </c>
      <c r="O37" s="9"/>
      <c r="P37" s="9">
        <v>96403</v>
      </c>
      <c r="Q37" s="9">
        <v>93830</v>
      </c>
      <c r="R37" s="13">
        <v>21</v>
      </c>
      <c r="S37" s="68"/>
      <c r="T37" s="171" t="s">
        <v>22</v>
      </c>
      <c r="U37" s="172"/>
      <c r="V37" s="172"/>
      <c r="W37" s="172"/>
      <c r="X37" s="172"/>
      <c r="Y37" s="172"/>
      <c r="Z37" s="172"/>
      <c r="AA37" s="172"/>
      <c r="AB37" s="172"/>
      <c r="AC37" s="172"/>
      <c r="AD37" s="173"/>
    </row>
    <row r="38" spans="2:31" ht="16.5" thickTop="1" x14ac:dyDescent="0.25">
      <c r="B38" s="8">
        <v>22</v>
      </c>
      <c r="C38" s="9">
        <v>205696</v>
      </c>
      <c r="D38" s="9">
        <v>60551</v>
      </c>
      <c r="E38" s="10"/>
      <c r="F38" s="9"/>
      <c r="G38" s="9"/>
      <c r="H38" s="9"/>
      <c r="I38" s="9">
        <v>353086</v>
      </c>
      <c r="J38" s="11">
        <v>256599</v>
      </c>
      <c r="K38" s="98">
        <v>0</v>
      </c>
      <c r="L38" s="15"/>
      <c r="M38" s="9">
        <v>29760</v>
      </c>
      <c r="N38" s="9">
        <v>29760</v>
      </c>
      <c r="O38" s="9"/>
      <c r="P38" s="9">
        <v>90007</v>
      </c>
      <c r="Q38" s="9">
        <v>94856</v>
      </c>
      <c r="R38" s="13">
        <v>22</v>
      </c>
      <c r="S38" s="68"/>
      <c r="T38" s="174" t="s">
        <v>131</v>
      </c>
      <c r="U38" s="175"/>
      <c r="V38" s="175"/>
      <c r="W38" s="175"/>
      <c r="X38" s="176"/>
      <c r="Y38" s="88"/>
      <c r="Z38" s="174" t="s">
        <v>132</v>
      </c>
      <c r="AA38" s="175"/>
      <c r="AB38" s="175"/>
      <c r="AC38" s="175"/>
      <c r="AD38" s="176"/>
    </row>
    <row r="39" spans="2:31" ht="15.75" x14ac:dyDescent="0.25">
      <c r="B39" s="8">
        <v>23</v>
      </c>
      <c r="C39" s="9">
        <v>192237</v>
      </c>
      <c r="D39" s="9">
        <v>48060</v>
      </c>
      <c r="E39" s="10"/>
      <c r="F39" s="9"/>
      <c r="G39" s="9"/>
      <c r="H39" s="9"/>
      <c r="I39" s="9">
        <v>330054</v>
      </c>
      <c r="J39" s="11">
        <v>230157</v>
      </c>
      <c r="K39" s="98">
        <v>0</v>
      </c>
      <c r="L39" s="15"/>
      <c r="M39" s="9">
        <v>27490</v>
      </c>
      <c r="N39" s="9">
        <v>27490</v>
      </c>
      <c r="O39" s="9"/>
      <c r="P39" s="9">
        <v>90007</v>
      </c>
      <c r="Q39" s="9">
        <v>94856</v>
      </c>
      <c r="R39" s="13">
        <v>23</v>
      </c>
      <c r="S39" s="68"/>
      <c r="T39" s="89" t="s">
        <v>133</v>
      </c>
      <c r="U39" s="88"/>
      <c r="V39" s="88"/>
      <c r="W39" s="90"/>
      <c r="X39" s="91">
        <v>15597</v>
      </c>
      <c r="Y39" s="92"/>
      <c r="Z39" s="89" t="s">
        <v>134</v>
      </c>
      <c r="AA39" s="88"/>
      <c r="AB39" s="88"/>
      <c r="AC39" s="90"/>
      <c r="AD39" s="93">
        <v>16418</v>
      </c>
    </row>
    <row r="40" spans="2:31" ht="15.75" x14ac:dyDescent="0.25">
      <c r="B40" s="8">
        <v>24</v>
      </c>
      <c r="C40" s="9">
        <v>179647</v>
      </c>
      <c r="D40" s="10"/>
      <c r="E40" s="10"/>
      <c r="F40" s="9"/>
      <c r="G40" s="9"/>
      <c r="H40" s="9"/>
      <c r="I40" s="9"/>
      <c r="J40" s="11">
        <v>209833</v>
      </c>
      <c r="K40" s="98">
        <v>0</v>
      </c>
      <c r="L40" s="15"/>
      <c r="M40" s="9">
        <v>25659</v>
      </c>
      <c r="N40" s="9">
        <v>25659</v>
      </c>
      <c r="O40" s="9"/>
      <c r="P40" s="9">
        <v>90007</v>
      </c>
      <c r="Q40" s="9"/>
      <c r="R40" s="13">
        <v>24</v>
      </c>
      <c r="S40" s="68"/>
      <c r="T40" s="89" t="s">
        <v>135</v>
      </c>
      <c r="U40" s="88"/>
      <c r="V40" s="88"/>
      <c r="W40" s="90"/>
      <c r="X40" s="91">
        <v>9571</v>
      </c>
      <c r="Y40" s="92"/>
      <c r="Z40" s="89" t="s">
        <v>136</v>
      </c>
      <c r="AA40" s="88"/>
      <c r="AB40" s="88"/>
      <c r="AC40" s="90"/>
      <c r="AD40" s="93">
        <v>10075</v>
      </c>
    </row>
    <row r="41" spans="2:31" ht="15.75" x14ac:dyDescent="0.25">
      <c r="B41" s="8">
        <v>25</v>
      </c>
      <c r="C41" s="9">
        <v>167901</v>
      </c>
      <c r="D41" s="10"/>
      <c r="E41" s="10"/>
      <c r="F41" s="9"/>
      <c r="G41" s="9"/>
      <c r="H41" s="9"/>
      <c r="I41" s="9"/>
      <c r="J41" s="11">
        <v>203108</v>
      </c>
      <c r="K41" s="98">
        <v>0</v>
      </c>
      <c r="L41" s="15"/>
      <c r="M41" s="9">
        <v>24272</v>
      </c>
      <c r="N41" s="9">
        <v>24272</v>
      </c>
      <c r="O41" s="9"/>
      <c r="P41" s="9">
        <v>86374</v>
      </c>
      <c r="Q41" s="9"/>
      <c r="R41" s="13">
        <v>25</v>
      </c>
      <c r="S41" s="68"/>
      <c r="T41" s="89" t="s">
        <v>137</v>
      </c>
      <c r="U41" s="88"/>
      <c r="V41" s="88"/>
      <c r="W41" s="90"/>
      <c r="X41" s="91">
        <v>2599</v>
      </c>
      <c r="Y41" s="92"/>
      <c r="Z41" s="89" t="s">
        <v>138</v>
      </c>
      <c r="AA41" s="88"/>
      <c r="AB41" s="88"/>
      <c r="AC41" s="90"/>
      <c r="AD41" s="93">
        <v>3184</v>
      </c>
    </row>
    <row r="42" spans="2:31" ht="16.5" customHeight="1" thickBot="1" x14ac:dyDescent="0.3">
      <c r="B42" s="8">
        <v>26</v>
      </c>
      <c r="C42" s="9">
        <v>156832</v>
      </c>
      <c r="D42" s="10"/>
      <c r="E42" s="10"/>
      <c r="F42" s="9"/>
      <c r="G42" s="9"/>
      <c r="H42" s="9"/>
      <c r="I42" s="9"/>
      <c r="J42" s="11">
        <v>189451</v>
      </c>
      <c r="K42" s="98">
        <v>0</v>
      </c>
      <c r="L42" s="15"/>
      <c r="M42" s="9">
        <v>22454</v>
      </c>
      <c r="N42" s="9">
        <v>22454</v>
      </c>
      <c r="O42" s="9"/>
      <c r="P42" s="9">
        <v>86374</v>
      </c>
      <c r="Q42" s="9"/>
      <c r="R42" s="13">
        <v>26</v>
      </c>
      <c r="S42" s="68"/>
      <c r="T42" s="89" t="s">
        <v>139</v>
      </c>
      <c r="U42" s="88"/>
      <c r="V42" s="88"/>
      <c r="W42" s="90"/>
      <c r="X42" s="91">
        <v>0</v>
      </c>
      <c r="Y42" s="92"/>
      <c r="Z42" s="89" t="s">
        <v>140</v>
      </c>
      <c r="AA42" s="88"/>
      <c r="AB42" s="88"/>
      <c r="AC42" s="90"/>
      <c r="AD42" s="93">
        <v>0</v>
      </c>
    </row>
    <row r="43" spans="2:31" ht="16.5" thickTop="1" thickBot="1" x14ac:dyDescent="0.3">
      <c r="B43" s="8">
        <v>27</v>
      </c>
      <c r="C43" s="9">
        <v>146570</v>
      </c>
      <c r="D43" s="10"/>
      <c r="E43" s="10"/>
      <c r="F43" s="9"/>
      <c r="G43" s="9"/>
      <c r="H43" s="9"/>
      <c r="I43" s="9"/>
      <c r="J43" s="11">
        <v>180921</v>
      </c>
      <c r="K43" s="98">
        <v>0</v>
      </c>
      <c r="L43" s="15"/>
      <c r="M43" s="9">
        <v>21048</v>
      </c>
      <c r="N43" s="9">
        <v>21048</v>
      </c>
      <c r="O43" s="9"/>
      <c r="P43" s="9">
        <v>86374</v>
      </c>
      <c r="Q43" s="9"/>
      <c r="R43" s="13">
        <v>27</v>
      </c>
      <c r="S43" s="68"/>
      <c r="T43" s="133" t="s">
        <v>28</v>
      </c>
      <c r="U43" s="134"/>
      <c r="V43" s="134"/>
      <c r="W43" s="134"/>
      <c r="X43" s="134"/>
      <c r="Y43" s="134"/>
      <c r="Z43" s="134"/>
      <c r="AA43" s="134"/>
      <c r="AB43" s="134"/>
      <c r="AC43" s="134"/>
      <c r="AD43" s="135"/>
    </row>
    <row r="44" spans="2:31" ht="16.5" customHeight="1" thickTop="1" x14ac:dyDescent="0.25">
      <c r="B44" s="8">
        <v>28</v>
      </c>
      <c r="C44" s="9">
        <v>137043</v>
      </c>
      <c r="D44" s="10"/>
      <c r="E44" s="10"/>
      <c r="F44" s="9"/>
      <c r="G44" s="9"/>
      <c r="H44" s="9"/>
      <c r="I44" s="9"/>
      <c r="J44" s="11">
        <v>173335</v>
      </c>
      <c r="K44" s="98">
        <v>0</v>
      </c>
      <c r="L44" s="15"/>
      <c r="M44" s="9">
        <v>19700</v>
      </c>
      <c r="N44" s="9">
        <v>19700</v>
      </c>
      <c r="O44" s="9"/>
      <c r="P44" s="9">
        <v>88493</v>
      </c>
      <c r="Q44" s="9"/>
      <c r="R44" s="13">
        <v>28</v>
      </c>
      <c r="S44" s="68"/>
      <c r="T44" s="174" t="s">
        <v>131</v>
      </c>
      <c r="U44" s="175"/>
      <c r="V44" s="175"/>
      <c r="W44" s="175"/>
      <c r="X44" s="176"/>
      <c r="Z44" s="174" t="s">
        <v>132</v>
      </c>
      <c r="AA44" s="175"/>
      <c r="AB44" s="175"/>
      <c r="AC44" s="175"/>
      <c r="AD44" s="176"/>
    </row>
    <row r="45" spans="2:31" x14ac:dyDescent="0.25">
      <c r="B45" s="8">
        <v>29</v>
      </c>
      <c r="C45" s="9">
        <v>128104</v>
      </c>
      <c r="D45" s="10"/>
      <c r="E45" s="10"/>
      <c r="F45" s="9"/>
      <c r="G45" s="9"/>
      <c r="H45" s="9"/>
      <c r="I45" s="9"/>
      <c r="J45" s="11">
        <v>166779</v>
      </c>
      <c r="K45" s="98">
        <v>0</v>
      </c>
      <c r="L45" s="15"/>
      <c r="M45" s="9">
        <v>18332</v>
      </c>
      <c r="N45" s="9">
        <v>18332</v>
      </c>
      <c r="O45" s="9"/>
      <c r="P45" s="9">
        <v>88493</v>
      </c>
      <c r="Q45" s="9"/>
      <c r="R45" s="13">
        <v>29</v>
      </c>
      <c r="S45" s="70"/>
      <c r="T45" s="16" t="s">
        <v>29</v>
      </c>
      <c r="U45" s="17"/>
      <c r="V45" s="17"/>
      <c r="W45" s="17"/>
      <c r="X45" s="18">
        <v>380000</v>
      </c>
      <c r="Y45" s="19"/>
      <c r="Z45" s="16" t="s">
        <v>29</v>
      </c>
      <c r="AA45" s="17"/>
      <c r="AB45" s="17"/>
      <c r="AC45" s="17"/>
      <c r="AD45" s="18">
        <v>400000</v>
      </c>
    </row>
    <row r="46" spans="2:31" ht="15" customHeight="1" x14ac:dyDescent="0.25">
      <c r="B46" s="8">
        <v>30</v>
      </c>
      <c r="C46" s="9">
        <v>124892</v>
      </c>
      <c r="D46" s="10"/>
      <c r="E46" s="10"/>
      <c r="F46" s="9"/>
      <c r="G46" s="9"/>
      <c r="H46" s="9"/>
      <c r="I46" s="9"/>
      <c r="J46" s="11">
        <v>156165</v>
      </c>
      <c r="K46" s="98">
        <v>0</v>
      </c>
      <c r="L46" s="15"/>
      <c r="M46" s="9">
        <v>11901</v>
      </c>
      <c r="N46" s="9">
        <v>11901</v>
      </c>
      <c r="O46" s="9"/>
      <c r="P46" s="9">
        <v>88493</v>
      </c>
      <c r="Q46" s="9"/>
      <c r="R46" s="13">
        <v>30</v>
      </c>
      <c r="S46" s="70"/>
      <c r="T46" s="16" t="s">
        <v>30</v>
      </c>
      <c r="U46" s="17"/>
      <c r="V46" s="17"/>
      <c r="W46" s="17"/>
      <c r="X46" s="18">
        <v>244944</v>
      </c>
      <c r="Y46" s="19"/>
      <c r="Z46" s="16" t="s">
        <v>30</v>
      </c>
      <c r="AA46" s="17"/>
      <c r="AB46" s="17"/>
      <c r="AC46" s="17"/>
      <c r="AD46" s="18"/>
    </row>
    <row r="47" spans="2:31" ht="16.5" customHeight="1" thickBot="1" x14ac:dyDescent="0.3">
      <c r="B47" s="31">
        <v>31</v>
      </c>
      <c r="C47" s="32">
        <v>121873</v>
      </c>
      <c r="D47" s="33"/>
      <c r="E47" s="33"/>
      <c r="F47" s="34"/>
      <c r="G47" s="34"/>
      <c r="H47" s="34"/>
      <c r="I47" s="34"/>
      <c r="J47" s="35">
        <v>144405</v>
      </c>
      <c r="K47" s="99">
        <v>0</v>
      </c>
      <c r="L47" s="36"/>
      <c r="M47" s="34">
        <v>9625</v>
      </c>
      <c r="N47" s="34">
        <v>9625</v>
      </c>
      <c r="O47" s="34"/>
      <c r="P47" s="34">
        <v>88493</v>
      </c>
      <c r="Q47" s="34"/>
      <c r="R47" s="37">
        <v>31</v>
      </c>
      <c r="S47" s="70"/>
      <c r="T47" s="57">
        <v>0.22275700000000001</v>
      </c>
      <c r="U47" s="167" t="s">
        <v>31</v>
      </c>
      <c r="V47" s="167"/>
      <c r="W47" s="20"/>
      <c r="X47" s="21">
        <v>54562.990608</v>
      </c>
      <c r="Y47" s="19"/>
      <c r="Z47" s="58">
        <v>0.22275700000000001</v>
      </c>
      <c r="AA47" s="168" t="s">
        <v>31</v>
      </c>
      <c r="AB47" s="168"/>
      <c r="AC47" s="22"/>
      <c r="AD47" s="23">
        <v>0</v>
      </c>
    </row>
    <row r="48" spans="2:31" ht="15" customHeight="1" thickTop="1" x14ac:dyDescent="0.25">
      <c r="L48" s="17"/>
      <c r="S48" s="72"/>
      <c r="AE48" s="38"/>
    </row>
    <row r="49" spans="2:31" ht="16.5" customHeight="1" x14ac:dyDescent="0.25">
      <c r="B49" s="169" t="s">
        <v>74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86"/>
      <c r="AE49" s="38"/>
    </row>
    <row r="50" spans="2:31" ht="15.75" customHeight="1" x14ac:dyDescent="0.25">
      <c r="B50" s="170" t="s">
        <v>124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86"/>
      <c r="AE50" s="17"/>
    </row>
    <row r="51" spans="2:31" ht="15.75" customHeight="1" x14ac:dyDescent="0.25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94"/>
      <c r="AE51" s="17"/>
    </row>
    <row r="52" spans="2:31" x14ac:dyDescent="0.25">
      <c r="B52" s="67" t="s">
        <v>58</v>
      </c>
      <c r="C52" s="4"/>
      <c r="D52" s="4"/>
      <c r="E52" s="4"/>
      <c r="F52" s="4"/>
      <c r="G52" s="4"/>
      <c r="H52" s="4"/>
      <c r="I52" s="4"/>
      <c r="J52" s="4"/>
      <c r="K52" s="4"/>
      <c r="L52" s="17"/>
      <c r="M52" s="39"/>
      <c r="N52" s="39"/>
      <c r="O52" s="39"/>
      <c r="P52" s="39"/>
      <c r="Q52" s="39"/>
      <c r="R52" s="39"/>
      <c r="S52" s="94"/>
      <c r="AE52" s="17"/>
    </row>
    <row r="53" spans="2:3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17"/>
      <c r="M53" s="25"/>
      <c r="N53" s="25"/>
      <c r="O53" s="25"/>
      <c r="P53" s="25"/>
      <c r="Q53" s="25"/>
      <c r="R53" s="25"/>
      <c r="S53" s="94"/>
    </row>
  </sheetData>
  <mergeCells count="35">
    <mergeCell ref="U47:V47"/>
    <mergeCell ref="AA47:AB47"/>
    <mergeCell ref="B49:R49"/>
    <mergeCell ref="B50:R51"/>
    <mergeCell ref="T37:AD37"/>
    <mergeCell ref="T38:X38"/>
    <mergeCell ref="Z38:AD38"/>
    <mergeCell ref="T43:AD43"/>
    <mergeCell ref="T44:X44"/>
    <mergeCell ref="Z44:AD44"/>
    <mergeCell ref="Z31:AD32"/>
    <mergeCell ref="T33:AD33"/>
    <mergeCell ref="T34:AD34"/>
    <mergeCell ref="T36:X36"/>
    <mergeCell ref="Z36:AD36"/>
    <mergeCell ref="T13:AD13"/>
    <mergeCell ref="T17:AD17"/>
    <mergeCell ref="T18:AD18"/>
    <mergeCell ref="T22:AD22"/>
    <mergeCell ref="B10:B11"/>
    <mergeCell ref="C10:C11"/>
    <mergeCell ref="D10:D11"/>
    <mergeCell ref="E10:E11"/>
    <mergeCell ref="F10:J10"/>
    <mergeCell ref="K10:K11"/>
    <mergeCell ref="M10:N10"/>
    <mergeCell ref="O10:Q10"/>
    <mergeCell ref="R10:R11"/>
    <mergeCell ref="T11:AD11"/>
    <mergeCell ref="T12:AD12"/>
    <mergeCell ref="G2:M2"/>
    <mergeCell ref="G3:M3"/>
    <mergeCell ref="G4:M4"/>
    <mergeCell ref="F7:N7"/>
    <mergeCell ref="L10:L11"/>
  </mergeCells>
  <pageMargins left="0.19685039370078741" right="0.19685039370078741" top="0.43307086614173229" bottom="0.43307086614173229" header="0.31496062992125984" footer="0.31496062992125984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V48"/>
  <sheetViews>
    <sheetView workbookViewId="0">
      <selection activeCell="F26" sqref="F26"/>
    </sheetView>
  </sheetViews>
  <sheetFormatPr baseColWidth="10" defaultColWidth="11.42578125" defaultRowHeight="15" x14ac:dyDescent="0.25"/>
  <cols>
    <col min="1" max="1" width="8.85546875" style="1" customWidth="1"/>
    <col min="2" max="2" width="7" style="1" bestFit="1" customWidth="1"/>
    <col min="3" max="8" width="13.140625" style="1" customWidth="1"/>
    <col min="9" max="9" width="7" style="1" bestFit="1" customWidth="1"/>
    <col min="10" max="10" width="10.85546875" style="1" customWidth="1"/>
    <col min="11" max="11" width="10.140625" style="1" customWidth="1"/>
    <col min="12" max="20" width="11.42578125" style="1"/>
    <col min="21" max="21" width="10.85546875" style="1" customWidth="1"/>
    <col min="22" max="22" width="6.85546875" style="1" customWidth="1"/>
    <col min="23" max="16384" width="11.42578125" style="1"/>
  </cols>
  <sheetData>
    <row r="1" spans="2:22" ht="15.75" thickBot="1" x14ac:dyDescent="0.3"/>
    <row r="2" spans="2:22" ht="15.75" thickTop="1" x14ac:dyDescent="0.25">
      <c r="B2" s="5"/>
      <c r="E2" s="3"/>
      <c r="H2" s="118" t="s">
        <v>0</v>
      </c>
      <c r="I2" s="119"/>
      <c r="J2" s="119"/>
      <c r="K2" s="119"/>
      <c r="L2" s="119"/>
      <c r="M2" s="120"/>
    </row>
    <row r="3" spans="2:22" x14ac:dyDescent="0.25">
      <c r="B3" s="5"/>
      <c r="C3" s="3"/>
      <c r="E3" s="4"/>
      <c r="G3" s="4"/>
      <c r="H3" s="121" t="s">
        <v>75</v>
      </c>
      <c r="I3" s="122"/>
      <c r="J3" s="122"/>
      <c r="K3" s="122"/>
      <c r="L3" s="122"/>
      <c r="M3" s="123"/>
    </row>
    <row r="4" spans="2:22" ht="15.75" thickBot="1" x14ac:dyDescent="0.3">
      <c r="B4" s="5"/>
      <c r="C4" s="3"/>
      <c r="E4" s="4"/>
      <c r="F4" s="4"/>
      <c r="G4" s="4"/>
      <c r="H4" s="124" t="s">
        <v>1</v>
      </c>
      <c r="I4" s="125"/>
      <c r="J4" s="125"/>
      <c r="K4" s="125"/>
      <c r="L4" s="125"/>
      <c r="M4" s="126"/>
    </row>
    <row r="5" spans="2:22" ht="15.75" thickTop="1" x14ac:dyDescent="0.25">
      <c r="B5" s="75"/>
      <c r="C5" s="75"/>
      <c r="D5" s="75"/>
      <c r="E5" s="2"/>
      <c r="F5" s="5"/>
      <c r="G5" s="5"/>
      <c r="H5" s="2"/>
    </row>
    <row r="6" spans="2:22" x14ac:dyDescent="0.25">
      <c r="B6" s="75"/>
      <c r="C6" s="75"/>
      <c r="D6" s="75"/>
      <c r="E6" s="2"/>
      <c r="F6" s="5"/>
      <c r="G6" s="5"/>
      <c r="H6" s="2"/>
    </row>
    <row r="7" spans="2:22" x14ac:dyDescent="0.25">
      <c r="B7" s="75"/>
      <c r="C7" s="127" t="s">
        <v>59</v>
      </c>
      <c r="D7" s="127"/>
      <c r="E7" s="127"/>
      <c r="F7" s="127"/>
      <c r="G7" s="127"/>
      <c r="H7" s="127"/>
      <c r="K7" s="184" t="s">
        <v>60</v>
      </c>
      <c r="L7" s="184"/>
      <c r="M7" s="184"/>
      <c r="N7" s="184"/>
      <c r="O7" s="184"/>
      <c r="P7" s="184"/>
      <c r="Q7" s="184"/>
      <c r="R7" s="184"/>
    </row>
    <row r="8" spans="2:22" x14ac:dyDescent="0.25">
      <c r="B8" s="75"/>
      <c r="C8" s="75"/>
      <c r="D8" s="7" t="s">
        <v>125</v>
      </c>
      <c r="E8" s="7"/>
      <c r="F8" s="7" t="s">
        <v>126</v>
      </c>
      <c r="G8" s="7"/>
      <c r="H8" s="7"/>
      <c r="K8" s="4"/>
      <c r="L8" s="7" t="s">
        <v>125</v>
      </c>
      <c r="N8" s="4"/>
      <c r="O8" s="7" t="s">
        <v>126</v>
      </c>
      <c r="P8" s="7"/>
      <c r="Q8" s="7"/>
      <c r="R8" s="3"/>
    </row>
    <row r="9" spans="2:22" ht="15.75" thickBot="1" x14ac:dyDescent="0.3">
      <c r="B9" s="75"/>
      <c r="C9" s="75"/>
      <c r="D9" s="74"/>
      <c r="E9" s="2"/>
      <c r="F9" s="5"/>
      <c r="G9" s="5"/>
      <c r="H9" s="2"/>
    </row>
    <row r="10" spans="2:22" ht="15.75" customHeight="1" thickTop="1" x14ac:dyDescent="0.25">
      <c r="B10" s="182" t="s">
        <v>3</v>
      </c>
      <c r="C10" s="141" t="s">
        <v>61</v>
      </c>
      <c r="D10" s="141" t="s">
        <v>62</v>
      </c>
      <c r="E10" s="141" t="s">
        <v>63</v>
      </c>
      <c r="F10" s="141" t="s">
        <v>64</v>
      </c>
      <c r="G10" s="141" t="s">
        <v>14</v>
      </c>
      <c r="H10" s="177" t="s">
        <v>65</v>
      </c>
      <c r="I10" s="179" t="s">
        <v>3</v>
      </c>
      <c r="J10" s="181" t="s">
        <v>61</v>
      </c>
      <c r="K10" s="141"/>
      <c r="L10" s="141" t="s">
        <v>66</v>
      </c>
      <c r="M10" s="141"/>
      <c r="N10" s="141" t="s">
        <v>63</v>
      </c>
      <c r="O10" s="141"/>
      <c r="P10" s="141" t="s">
        <v>64</v>
      </c>
      <c r="Q10" s="141"/>
      <c r="R10" s="141" t="s">
        <v>14</v>
      </c>
      <c r="S10" s="141"/>
      <c r="T10" s="141" t="s">
        <v>65</v>
      </c>
      <c r="U10" s="141"/>
      <c r="V10" s="147" t="s">
        <v>3</v>
      </c>
    </row>
    <row r="11" spans="2:22" ht="40.5" customHeight="1" x14ac:dyDescent="0.25">
      <c r="B11" s="183"/>
      <c r="C11" s="142"/>
      <c r="D11" s="142"/>
      <c r="E11" s="142"/>
      <c r="F11" s="142"/>
      <c r="G11" s="142"/>
      <c r="H11" s="178"/>
      <c r="I11" s="180"/>
      <c r="J11" s="40" t="s">
        <v>67</v>
      </c>
      <c r="K11" s="41" t="s">
        <v>68</v>
      </c>
      <c r="L11" s="41" t="s">
        <v>67</v>
      </c>
      <c r="M11" s="41" t="s">
        <v>68</v>
      </c>
      <c r="N11" s="41" t="s">
        <v>67</v>
      </c>
      <c r="O11" s="41" t="s">
        <v>68</v>
      </c>
      <c r="P11" s="41" t="s">
        <v>67</v>
      </c>
      <c r="Q11" s="41" t="s">
        <v>68</v>
      </c>
      <c r="R11" s="41" t="s">
        <v>67</v>
      </c>
      <c r="S11" s="41" t="s">
        <v>68</v>
      </c>
      <c r="T11" s="41" t="s">
        <v>67</v>
      </c>
      <c r="U11" s="41" t="s">
        <v>68</v>
      </c>
      <c r="V11" s="148"/>
    </row>
    <row r="12" spans="2:22" x14ac:dyDescent="0.25">
      <c r="B12" s="8" t="s">
        <v>21</v>
      </c>
      <c r="C12" s="9">
        <v>122556</v>
      </c>
      <c r="D12" s="9"/>
      <c r="E12" s="9"/>
      <c r="F12" s="9"/>
      <c r="G12" s="9"/>
      <c r="H12" s="11"/>
      <c r="I12" s="42" t="s">
        <v>21</v>
      </c>
      <c r="J12" s="43">
        <v>178854</v>
      </c>
      <c r="K12" s="9">
        <v>75207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13" t="s">
        <v>21</v>
      </c>
    </row>
    <row r="13" spans="2:22" x14ac:dyDescent="0.25">
      <c r="B13" s="8" t="s">
        <v>23</v>
      </c>
      <c r="C13" s="9">
        <v>120229</v>
      </c>
      <c r="D13" s="9"/>
      <c r="E13" s="9"/>
      <c r="F13" s="9"/>
      <c r="G13" s="9"/>
      <c r="H13" s="11"/>
      <c r="I13" s="42" t="s">
        <v>23</v>
      </c>
      <c r="J13" s="43">
        <v>181019</v>
      </c>
      <c r="K13" s="9">
        <v>76089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13" t="s">
        <v>23</v>
      </c>
    </row>
    <row r="14" spans="2:22" x14ac:dyDescent="0.25">
      <c r="B14" s="8" t="s">
        <v>24</v>
      </c>
      <c r="C14" s="9">
        <v>119865</v>
      </c>
      <c r="D14" s="9"/>
      <c r="E14" s="9"/>
      <c r="F14" s="9"/>
      <c r="G14" s="9"/>
      <c r="H14" s="11"/>
      <c r="I14" s="42" t="s">
        <v>24</v>
      </c>
      <c r="J14" s="43">
        <v>184980</v>
      </c>
      <c r="K14" s="9">
        <v>77720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3" t="s">
        <v>24</v>
      </c>
    </row>
    <row r="15" spans="2:22" x14ac:dyDescent="0.25">
      <c r="B15" s="8" t="s">
        <v>25</v>
      </c>
      <c r="C15" s="9"/>
      <c r="D15" s="9">
        <v>85764</v>
      </c>
      <c r="E15" s="9"/>
      <c r="F15" s="9"/>
      <c r="G15" s="9"/>
      <c r="H15" s="11"/>
      <c r="I15" s="42" t="s">
        <v>25</v>
      </c>
      <c r="J15" s="43">
        <v>185315</v>
      </c>
      <c r="K15" s="9">
        <v>75910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13" t="s">
        <v>25</v>
      </c>
    </row>
    <row r="16" spans="2:22" x14ac:dyDescent="0.25">
      <c r="B16" s="8" t="s">
        <v>26</v>
      </c>
      <c r="C16" s="9"/>
      <c r="D16" s="9">
        <v>104637</v>
      </c>
      <c r="E16" s="9"/>
      <c r="F16" s="9"/>
      <c r="G16" s="9"/>
      <c r="H16" s="11"/>
      <c r="I16" s="42" t="s">
        <v>26</v>
      </c>
      <c r="J16" s="45"/>
      <c r="K16" s="44"/>
      <c r="L16" s="9">
        <v>225820</v>
      </c>
      <c r="M16" s="9">
        <v>92497</v>
      </c>
      <c r="N16" s="44"/>
      <c r="O16" s="44"/>
      <c r="P16" s="44"/>
      <c r="Q16" s="44"/>
      <c r="R16" s="44"/>
      <c r="S16" s="44"/>
      <c r="T16" s="44"/>
      <c r="U16" s="44"/>
      <c r="V16" s="13" t="s">
        <v>26</v>
      </c>
    </row>
    <row r="17" spans="2:22" x14ac:dyDescent="0.25">
      <c r="B17" s="8" t="s">
        <v>27</v>
      </c>
      <c r="C17" s="9"/>
      <c r="D17" s="9">
        <v>105823</v>
      </c>
      <c r="E17" s="9">
        <v>105823</v>
      </c>
      <c r="F17" s="9">
        <v>80041</v>
      </c>
      <c r="G17" s="9"/>
      <c r="H17" s="11"/>
      <c r="I17" s="42" t="s">
        <v>27</v>
      </c>
      <c r="J17" s="45"/>
      <c r="K17" s="44"/>
      <c r="L17" s="9">
        <v>228126</v>
      </c>
      <c r="M17" s="9">
        <v>93452</v>
      </c>
      <c r="N17" s="9">
        <v>228126</v>
      </c>
      <c r="O17" s="9">
        <v>93452</v>
      </c>
      <c r="P17" s="9">
        <v>194117</v>
      </c>
      <c r="Q17" s="9">
        <v>73168</v>
      </c>
      <c r="R17" s="44"/>
      <c r="S17" s="44"/>
      <c r="T17" s="44"/>
      <c r="U17" s="44"/>
      <c r="V17" s="13" t="s">
        <v>27</v>
      </c>
    </row>
    <row r="18" spans="2:22" x14ac:dyDescent="0.25">
      <c r="B18" s="8">
        <v>2</v>
      </c>
      <c r="C18" s="9"/>
      <c r="D18" s="9">
        <v>107010</v>
      </c>
      <c r="E18" s="9">
        <v>107010</v>
      </c>
      <c r="F18" s="9">
        <v>78461</v>
      </c>
      <c r="G18" s="9"/>
      <c r="H18" s="11"/>
      <c r="I18" s="42">
        <v>2</v>
      </c>
      <c r="J18" s="45"/>
      <c r="K18" s="44"/>
      <c r="L18" s="9">
        <v>230406</v>
      </c>
      <c r="M18" s="9">
        <v>94367</v>
      </c>
      <c r="N18" s="9">
        <v>230406</v>
      </c>
      <c r="O18" s="9">
        <v>94367</v>
      </c>
      <c r="P18" s="9">
        <v>190306</v>
      </c>
      <c r="Q18" s="9">
        <v>71718</v>
      </c>
      <c r="R18" s="44"/>
      <c r="S18" s="44"/>
      <c r="T18" s="44"/>
      <c r="U18" s="44"/>
      <c r="V18" s="13">
        <v>2</v>
      </c>
    </row>
    <row r="19" spans="2:22" x14ac:dyDescent="0.25">
      <c r="B19" s="8">
        <v>3</v>
      </c>
      <c r="C19" s="9"/>
      <c r="D19" s="9">
        <v>111875</v>
      </c>
      <c r="E19" s="9">
        <v>111875</v>
      </c>
      <c r="F19" s="9">
        <v>75066</v>
      </c>
      <c r="G19" s="9"/>
      <c r="H19" s="11"/>
      <c r="I19" s="42">
        <v>3</v>
      </c>
      <c r="J19" s="45"/>
      <c r="K19" s="44"/>
      <c r="L19" s="9">
        <v>240095</v>
      </c>
      <c r="M19" s="9">
        <v>98355</v>
      </c>
      <c r="N19" s="9">
        <v>240095</v>
      </c>
      <c r="O19" s="9">
        <v>98355</v>
      </c>
      <c r="P19" s="9">
        <v>182036</v>
      </c>
      <c r="Q19" s="9">
        <v>68579</v>
      </c>
      <c r="R19" s="44"/>
      <c r="S19" s="44"/>
      <c r="T19" s="44"/>
      <c r="U19" s="44"/>
      <c r="V19" s="13">
        <v>3</v>
      </c>
    </row>
    <row r="20" spans="2:22" x14ac:dyDescent="0.25">
      <c r="B20" s="8">
        <v>4</v>
      </c>
      <c r="C20" s="9"/>
      <c r="D20" s="9">
        <v>115053</v>
      </c>
      <c r="E20" s="9">
        <v>115053</v>
      </c>
      <c r="F20" s="9">
        <v>70792</v>
      </c>
      <c r="G20" s="9">
        <v>115053</v>
      </c>
      <c r="H20" s="11"/>
      <c r="I20" s="42">
        <v>4</v>
      </c>
      <c r="J20" s="45"/>
      <c r="K20" s="44"/>
      <c r="L20" s="9">
        <v>246243</v>
      </c>
      <c r="M20" s="9">
        <v>100882</v>
      </c>
      <c r="N20" s="9">
        <v>246243</v>
      </c>
      <c r="O20" s="9">
        <v>100882</v>
      </c>
      <c r="P20" s="9">
        <v>171713</v>
      </c>
      <c r="Q20" s="9">
        <v>64723</v>
      </c>
      <c r="R20" s="9">
        <v>246243</v>
      </c>
      <c r="S20" s="9">
        <v>100861</v>
      </c>
      <c r="T20" s="44"/>
      <c r="U20" s="44"/>
      <c r="V20" s="13">
        <v>4</v>
      </c>
    </row>
    <row r="21" spans="2:22" x14ac:dyDescent="0.25">
      <c r="B21" s="8">
        <v>5</v>
      </c>
      <c r="C21" s="9"/>
      <c r="D21" s="9">
        <v>141520</v>
      </c>
      <c r="E21" s="9">
        <v>136639</v>
      </c>
      <c r="F21" s="9">
        <v>72951</v>
      </c>
      <c r="G21" s="9">
        <v>131730</v>
      </c>
      <c r="H21" s="11">
        <v>31712</v>
      </c>
      <c r="I21" s="42">
        <v>5</v>
      </c>
      <c r="J21" s="45"/>
      <c r="K21" s="44"/>
      <c r="L21" s="9">
        <v>287613</v>
      </c>
      <c r="M21" s="9">
        <v>117811</v>
      </c>
      <c r="N21" s="9">
        <v>292123</v>
      </c>
      <c r="O21" s="9">
        <v>117554</v>
      </c>
      <c r="P21" s="9">
        <v>176948</v>
      </c>
      <c r="Q21" s="9">
        <v>66687</v>
      </c>
      <c r="R21" s="9">
        <v>297027</v>
      </c>
      <c r="S21" s="9">
        <v>117263</v>
      </c>
      <c r="T21" s="9">
        <v>76934</v>
      </c>
      <c r="U21" s="9">
        <v>28983</v>
      </c>
      <c r="V21" s="13">
        <v>5</v>
      </c>
    </row>
    <row r="22" spans="2:22" x14ac:dyDescent="0.25">
      <c r="B22" s="8">
        <v>6</v>
      </c>
      <c r="C22" s="9"/>
      <c r="D22" s="9"/>
      <c r="E22" s="9">
        <v>128868</v>
      </c>
      <c r="F22" s="9">
        <v>68811</v>
      </c>
      <c r="G22" s="9">
        <v>124267</v>
      </c>
      <c r="H22" s="11">
        <v>30178</v>
      </c>
      <c r="I22" s="42">
        <v>6</v>
      </c>
      <c r="J22" s="45"/>
      <c r="K22" s="44"/>
      <c r="L22" s="44"/>
      <c r="M22" s="44"/>
      <c r="N22" s="9">
        <v>309347</v>
      </c>
      <c r="O22" s="9">
        <v>119473</v>
      </c>
      <c r="P22" s="9">
        <v>166921</v>
      </c>
      <c r="Q22" s="9">
        <v>62916</v>
      </c>
      <c r="R22" s="9">
        <v>313967</v>
      </c>
      <c r="S22" s="9">
        <v>119171</v>
      </c>
      <c r="T22" s="9">
        <v>73194</v>
      </c>
      <c r="U22" s="9">
        <v>27586</v>
      </c>
      <c r="V22" s="13">
        <v>6</v>
      </c>
    </row>
    <row r="23" spans="2:22" x14ac:dyDescent="0.25">
      <c r="B23" s="8">
        <v>7</v>
      </c>
      <c r="C23" s="9"/>
      <c r="D23" s="9"/>
      <c r="E23" s="9">
        <v>109577</v>
      </c>
      <c r="F23" s="9">
        <v>63424</v>
      </c>
      <c r="G23" s="9">
        <v>105551</v>
      </c>
      <c r="H23" s="11">
        <v>28153</v>
      </c>
      <c r="I23" s="42">
        <v>7</v>
      </c>
      <c r="J23" s="45"/>
      <c r="K23" s="44"/>
      <c r="L23" s="44"/>
      <c r="M23" s="44"/>
      <c r="N23" s="9">
        <v>265805</v>
      </c>
      <c r="O23" s="9">
        <v>100155</v>
      </c>
      <c r="P23" s="9">
        <v>153859</v>
      </c>
      <c r="Q23" s="9">
        <v>57986</v>
      </c>
      <c r="R23" s="9">
        <v>256045</v>
      </c>
      <c r="S23" s="9">
        <v>96472</v>
      </c>
      <c r="T23" s="9">
        <v>68318</v>
      </c>
      <c r="U23" s="9">
        <v>25728</v>
      </c>
      <c r="V23" s="13">
        <v>7</v>
      </c>
    </row>
    <row r="24" spans="2:22" x14ac:dyDescent="0.25">
      <c r="B24" s="8">
        <v>8</v>
      </c>
      <c r="C24" s="9"/>
      <c r="D24" s="9"/>
      <c r="E24" s="9">
        <v>101435</v>
      </c>
      <c r="F24" s="9">
        <v>58726</v>
      </c>
      <c r="G24" s="9">
        <v>97717</v>
      </c>
      <c r="H24" s="11">
        <v>26407</v>
      </c>
      <c r="I24" s="42">
        <v>8</v>
      </c>
      <c r="J24" s="45"/>
      <c r="K24" s="44"/>
      <c r="L24" s="44"/>
      <c r="M24" s="44"/>
      <c r="N24" s="9">
        <v>246113</v>
      </c>
      <c r="O24" s="9">
        <v>92743</v>
      </c>
      <c r="P24" s="9">
        <v>142461</v>
      </c>
      <c r="Q24" s="9">
        <v>53694</v>
      </c>
      <c r="R24" s="9">
        <v>237070</v>
      </c>
      <c r="S24" s="9">
        <v>89330</v>
      </c>
      <c r="T24" s="9">
        <v>64065</v>
      </c>
      <c r="U24" s="9">
        <v>24154</v>
      </c>
      <c r="V24" s="13">
        <v>8</v>
      </c>
    </row>
    <row r="25" spans="2:22" x14ac:dyDescent="0.25">
      <c r="B25" s="8">
        <v>9</v>
      </c>
      <c r="C25" s="9"/>
      <c r="D25" s="9"/>
      <c r="E25" s="9">
        <v>90495</v>
      </c>
      <c r="F25" s="9">
        <v>44633</v>
      </c>
      <c r="G25" s="9">
        <v>90495</v>
      </c>
      <c r="H25" s="11">
        <v>24782</v>
      </c>
      <c r="I25" s="42">
        <v>9</v>
      </c>
      <c r="J25" s="45"/>
      <c r="K25" s="44"/>
      <c r="L25" s="44"/>
      <c r="M25" s="44"/>
      <c r="N25" s="9">
        <v>219485</v>
      </c>
      <c r="O25" s="9">
        <v>82721</v>
      </c>
      <c r="P25" s="9">
        <v>108266</v>
      </c>
      <c r="Q25" s="9">
        <v>40804</v>
      </c>
      <c r="R25" s="9">
        <v>219485</v>
      </c>
      <c r="S25" s="9">
        <v>82721</v>
      </c>
      <c r="T25" s="9">
        <v>60118</v>
      </c>
      <c r="U25" s="9">
        <v>22655</v>
      </c>
      <c r="V25" s="13">
        <v>9</v>
      </c>
    </row>
    <row r="26" spans="2:22" x14ac:dyDescent="0.25">
      <c r="B26" s="8">
        <v>10</v>
      </c>
      <c r="C26" s="9"/>
      <c r="D26" s="9"/>
      <c r="E26" s="9">
        <v>83784</v>
      </c>
      <c r="F26" s="9">
        <v>41324</v>
      </c>
      <c r="G26" s="9">
        <v>83784</v>
      </c>
      <c r="H26" s="11">
        <v>23298</v>
      </c>
      <c r="I26" s="42">
        <v>10</v>
      </c>
      <c r="J26" s="45"/>
      <c r="K26" s="44"/>
      <c r="L26" s="44"/>
      <c r="M26" s="44"/>
      <c r="N26" s="9">
        <v>203246</v>
      </c>
      <c r="O26" s="9">
        <v>76593</v>
      </c>
      <c r="P26" s="9">
        <v>100249</v>
      </c>
      <c r="Q26" s="9">
        <v>37781</v>
      </c>
      <c r="R26" s="9">
        <v>203246</v>
      </c>
      <c r="S26" s="9">
        <v>76593</v>
      </c>
      <c r="T26" s="9">
        <v>56463</v>
      </c>
      <c r="U26" s="9">
        <v>21299</v>
      </c>
      <c r="V26" s="13">
        <v>10</v>
      </c>
    </row>
    <row r="27" spans="2:22" x14ac:dyDescent="0.25">
      <c r="B27" s="8">
        <v>11</v>
      </c>
      <c r="C27" s="9"/>
      <c r="D27" s="9"/>
      <c r="E27" s="9">
        <v>77591</v>
      </c>
      <c r="F27" s="9">
        <v>38280</v>
      </c>
      <c r="G27" s="9">
        <v>77591</v>
      </c>
      <c r="H27" s="11">
        <v>21526</v>
      </c>
      <c r="I27" s="42">
        <v>11</v>
      </c>
      <c r="J27" s="45"/>
      <c r="K27" s="44"/>
      <c r="L27" s="44"/>
      <c r="M27" s="44"/>
      <c r="N27" s="9">
        <v>188207</v>
      </c>
      <c r="O27" s="9">
        <v>70918</v>
      </c>
      <c r="P27" s="9">
        <v>92848</v>
      </c>
      <c r="Q27" s="9">
        <v>34968</v>
      </c>
      <c r="R27" s="9">
        <v>188207</v>
      </c>
      <c r="S27" s="9">
        <v>70918</v>
      </c>
      <c r="T27" s="9">
        <v>52216</v>
      </c>
      <c r="U27" s="9">
        <v>19695</v>
      </c>
      <c r="V27" s="13">
        <v>11</v>
      </c>
    </row>
    <row r="28" spans="2:22" x14ac:dyDescent="0.25">
      <c r="B28" s="8">
        <v>12</v>
      </c>
      <c r="C28" s="9"/>
      <c r="D28" s="9"/>
      <c r="E28" s="9">
        <v>71833</v>
      </c>
      <c r="F28" s="9">
        <v>36795</v>
      </c>
      <c r="G28" s="9">
        <v>71833</v>
      </c>
      <c r="H28" s="11">
        <v>21300</v>
      </c>
      <c r="I28" s="42">
        <v>12</v>
      </c>
      <c r="J28" s="45"/>
      <c r="K28" s="44"/>
      <c r="L28" s="44"/>
      <c r="M28" s="44"/>
      <c r="N28" s="9">
        <v>174256</v>
      </c>
      <c r="O28" s="9">
        <v>65675</v>
      </c>
      <c r="P28" s="9">
        <v>91567</v>
      </c>
      <c r="Q28" s="9">
        <v>34506</v>
      </c>
      <c r="R28" s="9">
        <v>174256</v>
      </c>
      <c r="S28" s="9">
        <v>65675</v>
      </c>
      <c r="T28" s="9">
        <v>53973</v>
      </c>
      <c r="U28" s="9">
        <v>20329</v>
      </c>
      <c r="V28" s="13">
        <v>12</v>
      </c>
    </row>
    <row r="29" spans="2:22" x14ac:dyDescent="0.25">
      <c r="B29" s="8">
        <v>13</v>
      </c>
      <c r="C29" s="9"/>
      <c r="D29" s="9"/>
      <c r="E29" s="9"/>
      <c r="F29" s="9">
        <v>34175</v>
      </c>
      <c r="G29" s="9">
        <v>60848</v>
      </c>
      <c r="H29" s="11">
        <v>19842</v>
      </c>
      <c r="I29" s="42">
        <v>13</v>
      </c>
      <c r="J29" s="45"/>
      <c r="K29" s="44"/>
      <c r="L29" s="44"/>
      <c r="M29" s="44"/>
      <c r="N29" s="44"/>
      <c r="O29" s="44"/>
      <c r="P29" s="9">
        <v>85205</v>
      </c>
      <c r="Q29" s="9">
        <v>32123</v>
      </c>
      <c r="R29" s="9">
        <v>147586</v>
      </c>
      <c r="S29" s="9">
        <v>55623</v>
      </c>
      <c r="T29" s="9">
        <v>50467</v>
      </c>
      <c r="U29" s="9">
        <v>19005</v>
      </c>
      <c r="V29" s="13">
        <v>13</v>
      </c>
    </row>
    <row r="30" spans="2:22" x14ac:dyDescent="0.25">
      <c r="B30" s="8">
        <v>14</v>
      </c>
      <c r="C30" s="9"/>
      <c r="D30" s="9"/>
      <c r="E30" s="9"/>
      <c r="F30" s="9">
        <v>32621</v>
      </c>
      <c r="G30" s="9">
        <v>56334</v>
      </c>
      <c r="H30" s="11">
        <v>17863</v>
      </c>
      <c r="I30" s="42">
        <v>14</v>
      </c>
      <c r="J30" s="45"/>
      <c r="K30" s="44"/>
      <c r="L30" s="44"/>
      <c r="M30" s="44"/>
      <c r="N30" s="44"/>
      <c r="O30" s="44"/>
      <c r="P30" s="9">
        <v>81471</v>
      </c>
      <c r="Q30" s="9">
        <v>30707</v>
      </c>
      <c r="R30" s="9">
        <v>136641</v>
      </c>
      <c r="S30" s="9">
        <v>51500</v>
      </c>
      <c r="T30" s="9">
        <v>45674</v>
      </c>
      <c r="U30" s="9">
        <v>17227</v>
      </c>
      <c r="V30" s="13">
        <v>14</v>
      </c>
    </row>
    <row r="31" spans="2:22" x14ac:dyDescent="0.25">
      <c r="B31" s="8">
        <v>15</v>
      </c>
      <c r="C31" s="9"/>
      <c r="D31" s="9"/>
      <c r="E31" s="9"/>
      <c r="F31" s="9">
        <v>30370</v>
      </c>
      <c r="G31" s="9">
        <v>52124</v>
      </c>
      <c r="H31" s="11">
        <v>18080</v>
      </c>
      <c r="I31" s="42">
        <v>15</v>
      </c>
      <c r="J31" s="45"/>
      <c r="K31" s="44"/>
      <c r="L31" s="44"/>
      <c r="M31" s="44"/>
      <c r="N31" s="44"/>
      <c r="O31" s="44"/>
      <c r="P31" s="9">
        <v>76000</v>
      </c>
      <c r="Q31" s="9">
        <v>28661</v>
      </c>
      <c r="R31" s="9">
        <v>126524</v>
      </c>
      <c r="S31" s="9">
        <v>47668</v>
      </c>
      <c r="T31" s="9">
        <v>46204</v>
      </c>
      <c r="U31" s="9">
        <v>17412</v>
      </c>
      <c r="V31" s="13">
        <v>15</v>
      </c>
    </row>
    <row r="32" spans="2:22" x14ac:dyDescent="0.25">
      <c r="B32" s="8">
        <v>16</v>
      </c>
      <c r="C32" s="9"/>
      <c r="D32" s="9"/>
      <c r="E32" s="9"/>
      <c r="F32" s="9">
        <v>28105</v>
      </c>
      <c r="G32" s="9">
        <v>48278</v>
      </c>
      <c r="H32" s="11">
        <v>16722</v>
      </c>
      <c r="I32" s="42">
        <v>16</v>
      </c>
      <c r="J32" s="45"/>
      <c r="K32" s="44"/>
      <c r="L32" s="44"/>
      <c r="M32" s="44"/>
      <c r="N32" s="44"/>
      <c r="O32" s="44"/>
      <c r="P32" s="9">
        <v>70449</v>
      </c>
      <c r="Q32" s="9">
        <v>26526</v>
      </c>
      <c r="R32" s="9">
        <v>117133</v>
      </c>
      <c r="S32" s="9">
        <v>44148</v>
      </c>
      <c r="T32" s="9">
        <v>42877</v>
      </c>
      <c r="U32" s="9">
        <v>16143</v>
      </c>
      <c r="V32" s="13">
        <v>16</v>
      </c>
    </row>
    <row r="33" spans="2:22" x14ac:dyDescent="0.25">
      <c r="B33" s="8">
        <v>17</v>
      </c>
      <c r="C33" s="9"/>
      <c r="D33" s="9"/>
      <c r="E33" s="9"/>
      <c r="F33" s="9">
        <v>26164</v>
      </c>
      <c r="G33" s="9">
        <v>44717</v>
      </c>
      <c r="H33" s="11">
        <v>15590</v>
      </c>
      <c r="I33" s="42">
        <v>17</v>
      </c>
      <c r="J33" s="45"/>
      <c r="K33" s="44"/>
      <c r="L33" s="44"/>
      <c r="M33" s="44"/>
      <c r="N33" s="44"/>
      <c r="O33" s="44"/>
      <c r="P33" s="9">
        <v>65761</v>
      </c>
      <c r="Q33" s="9">
        <v>24783</v>
      </c>
      <c r="R33" s="9">
        <v>108464</v>
      </c>
      <c r="S33" s="9">
        <v>40889</v>
      </c>
      <c r="T33" s="9">
        <v>40135</v>
      </c>
      <c r="U33" s="9">
        <v>15129</v>
      </c>
      <c r="V33" s="13">
        <v>17</v>
      </c>
    </row>
    <row r="34" spans="2:22" x14ac:dyDescent="0.25">
      <c r="B34" s="8">
        <v>18</v>
      </c>
      <c r="C34" s="9"/>
      <c r="D34" s="9"/>
      <c r="E34" s="9"/>
      <c r="F34" s="9">
        <v>24351</v>
      </c>
      <c r="G34" s="9">
        <v>29279</v>
      </c>
      <c r="H34" s="11">
        <v>16134</v>
      </c>
      <c r="I34" s="42">
        <v>18</v>
      </c>
      <c r="J34" s="45"/>
      <c r="K34" s="44"/>
      <c r="L34" s="44"/>
      <c r="M34" s="44"/>
      <c r="N34" s="44"/>
      <c r="O34" s="44"/>
      <c r="P34" s="9">
        <v>61421</v>
      </c>
      <c r="Q34" s="9">
        <v>23149</v>
      </c>
      <c r="R34" s="9">
        <v>73301</v>
      </c>
      <c r="S34" s="9">
        <v>27642</v>
      </c>
      <c r="T34" s="9">
        <v>41440</v>
      </c>
      <c r="U34" s="9">
        <v>15631</v>
      </c>
      <c r="V34" s="13">
        <v>18</v>
      </c>
    </row>
    <row r="35" spans="2:22" x14ac:dyDescent="0.25">
      <c r="B35" s="8">
        <v>19</v>
      </c>
      <c r="C35" s="9"/>
      <c r="D35" s="9"/>
      <c r="E35" s="9"/>
      <c r="F35" s="9"/>
      <c r="G35" s="9">
        <v>28358</v>
      </c>
      <c r="H35" s="11">
        <v>16614</v>
      </c>
      <c r="I35" s="42">
        <v>19</v>
      </c>
      <c r="J35" s="45"/>
      <c r="K35" s="44"/>
      <c r="L35" s="44"/>
      <c r="M35" s="44"/>
      <c r="N35" s="44"/>
      <c r="O35" s="44"/>
      <c r="P35" s="44"/>
      <c r="Q35" s="44"/>
      <c r="R35" s="9">
        <v>71068</v>
      </c>
      <c r="S35" s="9">
        <v>26795</v>
      </c>
      <c r="T35" s="9">
        <v>42356</v>
      </c>
      <c r="U35" s="9">
        <v>15967</v>
      </c>
      <c r="V35" s="13">
        <v>19</v>
      </c>
    </row>
    <row r="36" spans="2:22" x14ac:dyDescent="0.25">
      <c r="B36" s="8">
        <v>20</v>
      </c>
      <c r="C36" s="9"/>
      <c r="D36" s="9"/>
      <c r="E36" s="9"/>
      <c r="F36" s="9"/>
      <c r="G36" s="9">
        <v>26638</v>
      </c>
      <c r="H36" s="11">
        <v>15406</v>
      </c>
      <c r="I36" s="42">
        <v>20</v>
      </c>
      <c r="J36" s="45"/>
      <c r="K36" s="44"/>
      <c r="L36" s="44"/>
      <c r="M36" s="44"/>
      <c r="N36" s="44"/>
      <c r="O36" s="44"/>
      <c r="P36" s="44"/>
      <c r="Q36" s="44"/>
      <c r="R36" s="9">
        <v>66937</v>
      </c>
      <c r="S36" s="9">
        <v>25221</v>
      </c>
      <c r="T36" s="9">
        <v>39456</v>
      </c>
      <c r="U36" s="9">
        <v>14883</v>
      </c>
      <c r="V36" s="13">
        <v>20</v>
      </c>
    </row>
    <row r="37" spans="2:22" x14ac:dyDescent="0.25">
      <c r="B37" s="8">
        <v>21</v>
      </c>
      <c r="C37" s="9"/>
      <c r="D37" s="9"/>
      <c r="E37" s="9"/>
      <c r="F37" s="9"/>
      <c r="G37" s="9">
        <v>25041</v>
      </c>
      <c r="H37" s="11">
        <v>14578</v>
      </c>
      <c r="I37" s="42">
        <v>21</v>
      </c>
      <c r="J37" s="45"/>
      <c r="K37" s="44"/>
      <c r="L37" s="44"/>
      <c r="M37" s="44"/>
      <c r="N37" s="44"/>
      <c r="O37" s="44"/>
      <c r="P37" s="44"/>
      <c r="Q37" s="44"/>
      <c r="R37" s="9">
        <v>63027</v>
      </c>
      <c r="S37" s="9">
        <v>23764</v>
      </c>
      <c r="T37" s="9">
        <v>37435</v>
      </c>
      <c r="U37" s="9">
        <v>14102</v>
      </c>
      <c r="V37" s="13">
        <v>21</v>
      </c>
    </row>
    <row r="38" spans="2:22" x14ac:dyDescent="0.25">
      <c r="B38" s="8">
        <v>22</v>
      </c>
      <c r="C38" s="9"/>
      <c r="D38" s="9"/>
      <c r="E38" s="9"/>
      <c r="F38" s="9"/>
      <c r="G38" s="9">
        <v>23636</v>
      </c>
      <c r="H38" s="11">
        <v>11385</v>
      </c>
      <c r="I38" s="42">
        <v>22</v>
      </c>
      <c r="J38" s="45"/>
      <c r="K38" s="44"/>
      <c r="L38" s="44"/>
      <c r="M38" s="44"/>
      <c r="N38" s="44"/>
      <c r="O38" s="44"/>
      <c r="P38" s="44"/>
      <c r="Q38" s="44"/>
      <c r="R38" s="9">
        <v>59625</v>
      </c>
      <c r="S38" s="9">
        <v>22460</v>
      </c>
      <c r="T38" s="9">
        <v>29101</v>
      </c>
      <c r="U38" s="9">
        <v>10980</v>
      </c>
      <c r="V38" s="13">
        <v>22</v>
      </c>
    </row>
    <row r="39" spans="2:22" x14ac:dyDescent="0.25">
      <c r="B39" s="8">
        <v>23</v>
      </c>
      <c r="C39" s="9"/>
      <c r="D39" s="9"/>
      <c r="E39" s="9"/>
      <c r="F39" s="9"/>
      <c r="G39" s="9">
        <v>22216</v>
      </c>
      <c r="H39" s="11">
        <v>10784</v>
      </c>
      <c r="I39" s="42">
        <v>23</v>
      </c>
      <c r="J39" s="45"/>
      <c r="K39" s="44"/>
      <c r="L39" s="44"/>
      <c r="M39" s="44"/>
      <c r="N39" s="44"/>
      <c r="O39" s="44"/>
      <c r="P39" s="44"/>
      <c r="Q39" s="44"/>
      <c r="R39" s="9">
        <v>56240</v>
      </c>
      <c r="S39" s="9">
        <v>21193</v>
      </c>
      <c r="T39" s="9">
        <v>27694</v>
      </c>
      <c r="U39" s="9">
        <v>10436</v>
      </c>
      <c r="V39" s="13">
        <v>23</v>
      </c>
    </row>
    <row r="40" spans="2:22" x14ac:dyDescent="0.25">
      <c r="B40" s="8">
        <v>24</v>
      </c>
      <c r="C40" s="9"/>
      <c r="D40" s="9"/>
      <c r="E40" s="9"/>
      <c r="F40" s="9"/>
      <c r="G40" s="9"/>
      <c r="H40" s="11">
        <v>10274</v>
      </c>
      <c r="I40" s="42">
        <v>24</v>
      </c>
      <c r="J40" s="45"/>
      <c r="K40" s="44"/>
      <c r="L40" s="44"/>
      <c r="M40" s="44"/>
      <c r="N40" s="44"/>
      <c r="O40" s="44"/>
      <c r="P40" s="44"/>
      <c r="Q40" s="44"/>
      <c r="R40" s="44"/>
      <c r="S40" s="44"/>
      <c r="T40" s="9">
        <v>26447</v>
      </c>
      <c r="U40" s="9">
        <v>9966</v>
      </c>
      <c r="V40" s="13">
        <v>24</v>
      </c>
    </row>
    <row r="41" spans="2:22" x14ac:dyDescent="0.25">
      <c r="B41" s="8">
        <v>25</v>
      </c>
      <c r="C41" s="9"/>
      <c r="D41" s="9"/>
      <c r="E41" s="9"/>
      <c r="F41" s="9"/>
      <c r="G41" s="9"/>
      <c r="H41" s="11">
        <v>9267</v>
      </c>
      <c r="I41" s="42">
        <v>25</v>
      </c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9">
        <v>23667</v>
      </c>
      <c r="U41" s="9">
        <v>8891</v>
      </c>
      <c r="V41" s="13">
        <v>25</v>
      </c>
    </row>
    <row r="42" spans="2:22" x14ac:dyDescent="0.25">
      <c r="B42" s="8">
        <v>26</v>
      </c>
      <c r="C42" s="9"/>
      <c r="D42" s="9"/>
      <c r="E42" s="9"/>
      <c r="F42" s="9"/>
      <c r="G42" s="9"/>
      <c r="H42" s="11">
        <v>8820</v>
      </c>
      <c r="I42" s="42">
        <v>26</v>
      </c>
      <c r="J42" s="45"/>
      <c r="K42" s="44"/>
      <c r="L42" s="44"/>
      <c r="M42" s="44"/>
      <c r="N42" s="44"/>
      <c r="O42" s="44"/>
      <c r="P42" s="44"/>
      <c r="Q42" s="44"/>
      <c r="R42" s="44"/>
      <c r="S42" s="44"/>
      <c r="T42" s="9">
        <v>22618</v>
      </c>
      <c r="U42" s="9">
        <v>8532</v>
      </c>
      <c r="V42" s="13">
        <v>26</v>
      </c>
    </row>
    <row r="43" spans="2:22" x14ac:dyDescent="0.25">
      <c r="B43" s="8">
        <v>27</v>
      </c>
      <c r="C43" s="9"/>
      <c r="D43" s="9"/>
      <c r="E43" s="9"/>
      <c r="F43" s="9"/>
      <c r="G43" s="9"/>
      <c r="H43" s="11">
        <v>7244</v>
      </c>
      <c r="I43" s="42">
        <v>27</v>
      </c>
      <c r="J43" s="45"/>
      <c r="K43" s="44"/>
      <c r="L43" s="44"/>
      <c r="M43" s="44"/>
      <c r="N43" s="44"/>
      <c r="O43" s="44"/>
      <c r="P43" s="44"/>
      <c r="Q43" s="44"/>
      <c r="R43" s="44"/>
      <c r="S43" s="44"/>
      <c r="T43" s="9">
        <v>18688</v>
      </c>
      <c r="U43" s="9">
        <v>7026</v>
      </c>
      <c r="V43" s="13">
        <v>27</v>
      </c>
    </row>
    <row r="44" spans="2:22" x14ac:dyDescent="0.25">
      <c r="B44" s="8">
        <v>28</v>
      </c>
      <c r="C44" s="9"/>
      <c r="D44" s="9"/>
      <c r="E44" s="9"/>
      <c r="F44" s="9"/>
      <c r="G44" s="9"/>
      <c r="H44" s="11">
        <v>7297</v>
      </c>
      <c r="I44" s="42">
        <v>28</v>
      </c>
      <c r="J44" s="45"/>
      <c r="K44" s="44"/>
      <c r="L44" s="44"/>
      <c r="M44" s="44"/>
      <c r="N44" s="44"/>
      <c r="O44" s="44"/>
      <c r="P44" s="44"/>
      <c r="Q44" s="44"/>
      <c r="R44" s="44"/>
      <c r="S44" s="44"/>
      <c r="T44" s="9">
        <v>18716</v>
      </c>
      <c r="U44" s="9">
        <v>7071</v>
      </c>
      <c r="V44" s="13">
        <v>28</v>
      </c>
    </row>
    <row r="45" spans="2:22" x14ac:dyDescent="0.25">
      <c r="B45" s="8">
        <v>29</v>
      </c>
      <c r="C45" s="9"/>
      <c r="D45" s="9"/>
      <c r="E45" s="9"/>
      <c r="F45" s="9"/>
      <c r="G45" s="9"/>
      <c r="H45" s="11">
        <v>7026</v>
      </c>
      <c r="I45" s="42">
        <v>29</v>
      </c>
      <c r="J45" s="45"/>
      <c r="K45" s="44"/>
      <c r="L45" s="44"/>
      <c r="M45" s="44"/>
      <c r="N45" s="44"/>
      <c r="O45" s="44"/>
      <c r="P45" s="44"/>
      <c r="Q45" s="44"/>
      <c r="R45" s="44"/>
      <c r="S45" s="44"/>
      <c r="T45" s="9">
        <v>18080</v>
      </c>
      <c r="U45" s="9">
        <v>6830</v>
      </c>
      <c r="V45" s="13">
        <v>29</v>
      </c>
    </row>
    <row r="46" spans="2:22" x14ac:dyDescent="0.25">
      <c r="B46" s="8">
        <v>30</v>
      </c>
      <c r="C46" s="9"/>
      <c r="D46" s="9"/>
      <c r="E46" s="9"/>
      <c r="F46" s="9"/>
      <c r="G46" s="9"/>
      <c r="H46" s="11">
        <v>6393</v>
      </c>
      <c r="I46" s="42">
        <v>30</v>
      </c>
      <c r="J46" s="45"/>
      <c r="K46" s="44"/>
      <c r="L46" s="44"/>
      <c r="M46" s="44"/>
      <c r="N46" s="44"/>
      <c r="O46" s="44"/>
      <c r="P46" s="44"/>
      <c r="Q46" s="44"/>
      <c r="R46" s="44"/>
      <c r="S46" s="44"/>
      <c r="T46" s="9">
        <v>16576</v>
      </c>
      <c r="U46" s="9">
        <v>6246</v>
      </c>
      <c r="V46" s="13">
        <v>30</v>
      </c>
    </row>
    <row r="47" spans="2:22" ht="15.75" thickBot="1" x14ac:dyDescent="0.3">
      <c r="B47" s="31">
        <v>31</v>
      </c>
      <c r="C47" s="34"/>
      <c r="D47" s="34"/>
      <c r="E47" s="34"/>
      <c r="F47" s="34"/>
      <c r="G47" s="34"/>
      <c r="H47" s="35">
        <v>6216</v>
      </c>
      <c r="I47" s="95">
        <v>31</v>
      </c>
      <c r="J47" s="96"/>
      <c r="K47" s="32"/>
      <c r="L47" s="32"/>
      <c r="M47" s="32"/>
      <c r="N47" s="32"/>
      <c r="O47" s="32"/>
      <c r="P47" s="32"/>
      <c r="Q47" s="32"/>
      <c r="R47" s="32"/>
      <c r="S47" s="32"/>
      <c r="T47" s="34">
        <v>16143</v>
      </c>
      <c r="U47" s="34">
        <v>6085</v>
      </c>
      <c r="V47" s="37">
        <v>31</v>
      </c>
    </row>
    <row r="48" spans="2:22" ht="15.75" thickTop="1" x14ac:dyDescent="0.25"/>
  </sheetData>
  <mergeCells count="20">
    <mergeCell ref="H3:M3"/>
    <mergeCell ref="H4:M4"/>
    <mergeCell ref="H2:M2"/>
    <mergeCell ref="C7:H7"/>
    <mergeCell ref="K7:R7"/>
    <mergeCell ref="B10:B11"/>
    <mergeCell ref="C10:C11"/>
    <mergeCell ref="D10:D11"/>
    <mergeCell ref="E10:E11"/>
    <mergeCell ref="F10:F11"/>
    <mergeCell ref="P10:Q10"/>
    <mergeCell ref="R10:S10"/>
    <mergeCell ref="T10:U10"/>
    <mergeCell ref="V10:V11"/>
    <mergeCell ref="G10:G11"/>
    <mergeCell ref="H10:H11"/>
    <mergeCell ref="I10:I11"/>
    <mergeCell ref="J10:K10"/>
    <mergeCell ref="L10:M10"/>
    <mergeCell ref="N10:O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T41"/>
  <sheetViews>
    <sheetView workbookViewId="0">
      <pane ySplit="3" topLeftCell="A8" activePane="bottomLeft" state="frozen"/>
      <selection pane="bottomLeft" activeCell="D4" sqref="D4:D41"/>
    </sheetView>
  </sheetViews>
  <sheetFormatPr baseColWidth="10" defaultRowHeight="12.75" x14ac:dyDescent="0.2"/>
  <cols>
    <col min="1" max="1" width="5" style="77" bestFit="1" customWidth="1"/>
    <col min="2" max="2" width="15.42578125" style="77" bestFit="1" customWidth="1"/>
    <col min="3" max="3" width="6.7109375" style="77" customWidth="1"/>
    <col min="4" max="4" width="13" style="77" customWidth="1"/>
    <col min="5" max="5" width="10.5703125" style="77" customWidth="1"/>
    <col min="6" max="6" width="11.42578125" style="77" customWidth="1"/>
    <col min="7" max="18" width="16.28515625" style="77" customWidth="1"/>
    <col min="19" max="20" width="0" style="77" hidden="1" customWidth="1"/>
    <col min="21" max="244" width="11.42578125" style="77"/>
    <col min="245" max="245" width="4.42578125" style="77" bestFit="1" customWidth="1"/>
    <col min="246" max="246" width="15.42578125" style="77" bestFit="1" customWidth="1"/>
    <col min="247" max="247" width="6.42578125" style="77" bestFit="1" customWidth="1"/>
    <col min="248" max="249" width="11.42578125" style="77"/>
    <col min="250" max="261" width="16.28515625" style="77" customWidth="1"/>
    <col min="262" max="500" width="11.42578125" style="77"/>
    <col min="501" max="501" width="4.42578125" style="77" bestFit="1" customWidth="1"/>
    <col min="502" max="502" width="15.42578125" style="77" bestFit="1" customWidth="1"/>
    <col min="503" max="503" width="6.42578125" style="77" bestFit="1" customWidth="1"/>
    <col min="504" max="505" width="11.42578125" style="77"/>
    <col min="506" max="517" width="16.28515625" style="77" customWidth="1"/>
    <col min="518" max="756" width="11.42578125" style="77"/>
    <col min="757" max="757" width="4.42578125" style="77" bestFit="1" customWidth="1"/>
    <col min="758" max="758" width="15.42578125" style="77" bestFit="1" customWidth="1"/>
    <col min="759" max="759" width="6.42578125" style="77" bestFit="1" customWidth="1"/>
    <col min="760" max="761" width="11.42578125" style="77"/>
    <col min="762" max="773" width="16.28515625" style="77" customWidth="1"/>
    <col min="774" max="1012" width="11.42578125" style="77"/>
    <col min="1013" max="1013" width="4.42578125" style="77" bestFit="1" customWidth="1"/>
    <col min="1014" max="1014" width="15.42578125" style="77" bestFit="1" customWidth="1"/>
    <col min="1015" max="1015" width="6.42578125" style="77" bestFit="1" customWidth="1"/>
    <col min="1016" max="1017" width="11.42578125" style="77"/>
    <col min="1018" max="1029" width="16.28515625" style="77" customWidth="1"/>
    <col min="1030" max="1268" width="11.42578125" style="77"/>
    <col min="1269" max="1269" width="4.42578125" style="77" bestFit="1" customWidth="1"/>
    <col min="1270" max="1270" width="15.42578125" style="77" bestFit="1" customWidth="1"/>
    <col min="1271" max="1271" width="6.42578125" style="77" bestFit="1" customWidth="1"/>
    <col min="1272" max="1273" width="11.42578125" style="77"/>
    <col min="1274" max="1285" width="16.28515625" style="77" customWidth="1"/>
    <col min="1286" max="1524" width="11.42578125" style="77"/>
    <col min="1525" max="1525" width="4.42578125" style="77" bestFit="1" customWidth="1"/>
    <col min="1526" max="1526" width="15.42578125" style="77" bestFit="1" customWidth="1"/>
    <col min="1527" max="1527" width="6.42578125" style="77" bestFit="1" customWidth="1"/>
    <col min="1528" max="1529" width="11.42578125" style="77"/>
    <col min="1530" max="1541" width="16.28515625" style="77" customWidth="1"/>
    <col min="1542" max="1780" width="11.42578125" style="77"/>
    <col min="1781" max="1781" width="4.42578125" style="77" bestFit="1" customWidth="1"/>
    <col min="1782" max="1782" width="15.42578125" style="77" bestFit="1" customWidth="1"/>
    <col min="1783" max="1783" width="6.42578125" style="77" bestFit="1" customWidth="1"/>
    <col min="1784" max="1785" width="11.42578125" style="77"/>
    <col min="1786" max="1797" width="16.28515625" style="77" customWidth="1"/>
    <col min="1798" max="2036" width="11.42578125" style="77"/>
    <col min="2037" max="2037" width="4.42578125" style="77" bestFit="1" customWidth="1"/>
    <col min="2038" max="2038" width="15.42578125" style="77" bestFit="1" customWidth="1"/>
    <col min="2039" max="2039" width="6.42578125" style="77" bestFit="1" customWidth="1"/>
    <col min="2040" max="2041" width="11.42578125" style="77"/>
    <col min="2042" max="2053" width="16.28515625" style="77" customWidth="1"/>
    <col min="2054" max="2292" width="11.42578125" style="77"/>
    <col min="2293" max="2293" width="4.42578125" style="77" bestFit="1" customWidth="1"/>
    <col min="2294" max="2294" width="15.42578125" style="77" bestFit="1" customWidth="1"/>
    <col min="2295" max="2295" width="6.42578125" style="77" bestFit="1" customWidth="1"/>
    <col min="2296" max="2297" width="11.42578125" style="77"/>
    <col min="2298" max="2309" width="16.28515625" style="77" customWidth="1"/>
    <col min="2310" max="2548" width="11.42578125" style="77"/>
    <col min="2549" max="2549" width="4.42578125" style="77" bestFit="1" customWidth="1"/>
    <col min="2550" max="2550" width="15.42578125" style="77" bestFit="1" customWidth="1"/>
    <col min="2551" max="2551" width="6.42578125" style="77" bestFit="1" customWidth="1"/>
    <col min="2552" max="2553" width="11.42578125" style="77"/>
    <col min="2554" max="2565" width="16.28515625" style="77" customWidth="1"/>
    <col min="2566" max="2804" width="11.42578125" style="77"/>
    <col min="2805" max="2805" width="4.42578125" style="77" bestFit="1" customWidth="1"/>
    <col min="2806" max="2806" width="15.42578125" style="77" bestFit="1" customWidth="1"/>
    <col min="2807" max="2807" width="6.42578125" style="77" bestFit="1" customWidth="1"/>
    <col min="2808" max="2809" width="11.42578125" style="77"/>
    <col min="2810" max="2821" width="16.28515625" style="77" customWidth="1"/>
    <col min="2822" max="3060" width="11.42578125" style="77"/>
    <col min="3061" max="3061" width="4.42578125" style="77" bestFit="1" customWidth="1"/>
    <col min="3062" max="3062" width="15.42578125" style="77" bestFit="1" customWidth="1"/>
    <col min="3063" max="3063" width="6.42578125" style="77" bestFit="1" customWidth="1"/>
    <col min="3064" max="3065" width="11.42578125" style="77"/>
    <col min="3066" max="3077" width="16.28515625" style="77" customWidth="1"/>
    <col min="3078" max="3316" width="11.42578125" style="77"/>
    <col min="3317" max="3317" width="4.42578125" style="77" bestFit="1" customWidth="1"/>
    <col min="3318" max="3318" width="15.42578125" style="77" bestFit="1" customWidth="1"/>
    <col min="3319" max="3319" width="6.42578125" style="77" bestFit="1" customWidth="1"/>
    <col min="3320" max="3321" width="11.42578125" style="77"/>
    <col min="3322" max="3333" width="16.28515625" style="77" customWidth="1"/>
    <col min="3334" max="3572" width="11.42578125" style="77"/>
    <col min="3573" max="3573" width="4.42578125" style="77" bestFit="1" customWidth="1"/>
    <col min="3574" max="3574" width="15.42578125" style="77" bestFit="1" customWidth="1"/>
    <col min="3575" max="3575" width="6.42578125" style="77" bestFit="1" customWidth="1"/>
    <col min="3576" max="3577" width="11.42578125" style="77"/>
    <col min="3578" max="3589" width="16.28515625" style="77" customWidth="1"/>
    <col min="3590" max="3828" width="11.42578125" style="77"/>
    <col min="3829" max="3829" width="4.42578125" style="77" bestFit="1" customWidth="1"/>
    <col min="3830" max="3830" width="15.42578125" style="77" bestFit="1" customWidth="1"/>
    <col min="3831" max="3831" width="6.42578125" style="77" bestFit="1" customWidth="1"/>
    <col min="3832" max="3833" width="11.42578125" style="77"/>
    <col min="3834" max="3845" width="16.28515625" style="77" customWidth="1"/>
    <col min="3846" max="4084" width="11.42578125" style="77"/>
    <col min="4085" max="4085" width="4.42578125" style="77" bestFit="1" customWidth="1"/>
    <col min="4086" max="4086" width="15.42578125" style="77" bestFit="1" customWidth="1"/>
    <col min="4087" max="4087" width="6.42578125" style="77" bestFit="1" customWidth="1"/>
    <col min="4088" max="4089" width="11.42578125" style="77"/>
    <col min="4090" max="4101" width="16.28515625" style="77" customWidth="1"/>
    <col min="4102" max="4340" width="11.42578125" style="77"/>
    <col min="4341" max="4341" width="4.42578125" style="77" bestFit="1" customWidth="1"/>
    <col min="4342" max="4342" width="15.42578125" style="77" bestFit="1" customWidth="1"/>
    <col min="4343" max="4343" width="6.42578125" style="77" bestFit="1" customWidth="1"/>
    <col min="4344" max="4345" width="11.42578125" style="77"/>
    <col min="4346" max="4357" width="16.28515625" style="77" customWidth="1"/>
    <col min="4358" max="4596" width="11.42578125" style="77"/>
    <col min="4597" max="4597" width="4.42578125" style="77" bestFit="1" customWidth="1"/>
    <col min="4598" max="4598" width="15.42578125" style="77" bestFit="1" customWidth="1"/>
    <col min="4599" max="4599" width="6.42578125" style="77" bestFit="1" customWidth="1"/>
    <col min="4600" max="4601" width="11.42578125" style="77"/>
    <col min="4602" max="4613" width="16.28515625" style="77" customWidth="1"/>
    <col min="4614" max="4852" width="11.42578125" style="77"/>
    <col min="4853" max="4853" width="4.42578125" style="77" bestFit="1" customWidth="1"/>
    <col min="4854" max="4854" width="15.42578125" style="77" bestFit="1" customWidth="1"/>
    <col min="4855" max="4855" width="6.42578125" style="77" bestFit="1" customWidth="1"/>
    <col min="4856" max="4857" width="11.42578125" style="77"/>
    <col min="4858" max="4869" width="16.28515625" style="77" customWidth="1"/>
    <col min="4870" max="5108" width="11.42578125" style="77"/>
    <col min="5109" max="5109" width="4.42578125" style="77" bestFit="1" customWidth="1"/>
    <col min="5110" max="5110" width="15.42578125" style="77" bestFit="1" customWidth="1"/>
    <col min="5111" max="5111" width="6.42578125" style="77" bestFit="1" customWidth="1"/>
    <col min="5112" max="5113" width="11.42578125" style="77"/>
    <col min="5114" max="5125" width="16.28515625" style="77" customWidth="1"/>
    <col min="5126" max="5364" width="11.42578125" style="77"/>
    <col min="5365" max="5365" width="4.42578125" style="77" bestFit="1" customWidth="1"/>
    <col min="5366" max="5366" width="15.42578125" style="77" bestFit="1" customWidth="1"/>
    <col min="5367" max="5367" width="6.42578125" style="77" bestFit="1" customWidth="1"/>
    <col min="5368" max="5369" width="11.42578125" style="77"/>
    <col min="5370" max="5381" width="16.28515625" style="77" customWidth="1"/>
    <col min="5382" max="5620" width="11.42578125" style="77"/>
    <col min="5621" max="5621" width="4.42578125" style="77" bestFit="1" customWidth="1"/>
    <col min="5622" max="5622" width="15.42578125" style="77" bestFit="1" customWidth="1"/>
    <col min="5623" max="5623" width="6.42578125" style="77" bestFit="1" customWidth="1"/>
    <col min="5624" max="5625" width="11.42578125" style="77"/>
    <col min="5626" max="5637" width="16.28515625" style="77" customWidth="1"/>
    <col min="5638" max="5876" width="11.42578125" style="77"/>
    <col min="5877" max="5877" width="4.42578125" style="77" bestFit="1" customWidth="1"/>
    <col min="5878" max="5878" width="15.42578125" style="77" bestFit="1" customWidth="1"/>
    <col min="5879" max="5879" width="6.42578125" style="77" bestFit="1" customWidth="1"/>
    <col min="5880" max="5881" width="11.42578125" style="77"/>
    <col min="5882" max="5893" width="16.28515625" style="77" customWidth="1"/>
    <col min="5894" max="6132" width="11.42578125" style="77"/>
    <col min="6133" max="6133" width="4.42578125" style="77" bestFit="1" customWidth="1"/>
    <col min="6134" max="6134" width="15.42578125" style="77" bestFit="1" customWidth="1"/>
    <col min="6135" max="6135" width="6.42578125" style="77" bestFit="1" customWidth="1"/>
    <col min="6136" max="6137" width="11.42578125" style="77"/>
    <col min="6138" max="6149" width="16.28515625" style="77" customWidth="1"/>
    <col min="6150" max="6388" width="11.42578125" style="77"/>
    <col min="6389" max="6389" width="4.42578125" style="77" bestFit="1" customWidth="1"/>
    <col min="6390" max="6390" width="15.42578125" style="77" bestFit="1" customWidth="1"/>
    <col min="6391" max="6391" width="6.42578125" style="77" bestFit="1" customWidth="1"/>
    <col min="6392" max="6393" width="11.42578125" style="77"/>
    <col min="6394" max="6405" width="16.28515625" style="77" customWidth="1"/>
    <col min="6406" max="6644" width="11.42578125" style="77"/>
    <col min="6645" max="6645" width="4.42578125" style="77" bestFit="1" customWidth="1"/>
    <col min="6646" max="6646" width="15.42578125" style="77" bestFit="1" customWidth="1"/>
    <col min="6647" max="6647" width="6.42578125" style="77" bestFit="1" customWidth="1"/>
    <col min="6648" max="6649" width="11.42578125" style="77"/>
    <col min="6650" max="6661" width="16.28515625" style="77" customWidth="1"/>
    <col min="6662" max="6900" width="11.42578125" style="77"/>
    <col min="6901" max="6901" width="4.42578125" style="77" bestFit="1" customWidth="1"/>
    <col min="6902" max="6902" width="15.42578125" style="77" bestFit="1" customWidth="1"/>
    <col min="6903" max="6903" width="6.42578125" style="77" bestFit="1" customWidth="1"/>
    <col min="6904" max="6905" width="11.42578125" style="77"/>
    <col min="6906" max="6917" width="16.28515625" style="77" customWidth="1"/>
    <col min="6918" max="7156" width="11.42578125" style="77"/>
    <col min="7157" max="7157" width="4.42578125" style="77" bestFit="1" customWidth="1"/>
    <col min="7158" max="7158" width="15.42578125" style="77" bestFit="1" customWidth="1"/>
    <col min="7159" max="7159" width="6.42578125" style="77" bestFit="1" customWidth="1"/>
    <col min="7160" max="7161" width="11.42578125" style="77"/>
    <col min="7162" max="7173" width="16.28515625" style="77" customWidth="1"/>
    <col min="7174" max="7412" width="11.42578125" style="77"/>
    <col min="7413" max="7413" width="4.42578125" style="77" bestFit="1" customWidth="1"/>
    <col min="7414" max="7414" width="15.42578125" style="77" bestFit="1" customWidth="1"/>
    <col min="7415" max="7415" width="6.42578125" style="77" bestFit="1" customWidth="1"/>
    <col min="7416" max="7417" width="11.42578125" style="77"/>
    <col min="7418" max="7429" width="16.28515625" style="77" customWidth="1"/>
    <col min="7430" max="7668" width="11.42578125" style="77"/>
    <col min="7669" max="7669" width="4.42578125" style="77" bestFit="1" customWidth="1"/>
    <col min="7670" max="7670" width="15.42578125" style="77" bestFit="1" customWidth="1"/>
    <col min="7671" max="7671" width="6.42578125" style="77" bestFit="1" customWidth="1"/>
    <col min="7672" max="7673" width="11.42578125" style="77"/>
    <col min="7674" max="7685" width="16.28515625" style="77" customWidth="1"/>
    <col min="7686" max="7924" width="11.42578125" style="77"/>
    <col min="7925" max="7925" width="4.42578125" style="77" bestFit="1" customWidth="1"/>
    <col min="7926" max="7926" width="15.42578125" style="77" bestFit="1" customWidth="1"/>
    <col min="7927" max="7927" width="6.42578125" style="77" bestFit="1" customWidth="1"/>
    <col min="7928" max="7929" width="11.42578125" style="77"/>
    <col min="7930" max="7941" width="16.28515625" style="77" customWidth="1"/>
    <col min="7942" max="8180" width="11.42578125" style="77"/>
    <col min="8181" max="8181" width="4.42578125" style="77" bestFit="1" customWidth="1"/>
    <col min="8182" max="8182" width="15.42578125" style="77" bestFit="1" customWidth="1"/>
    <col min="8183" max="8183" width="6.42578125" style="77" bestFit="1" customWidth="1"/>
    <col min="8184" max="8185" width="11.42578125" style="77"/>
    <col min="8186" max="8197" width="16.28515625" style="77" customWidth="1"/>
    <col min="8198" max="8436" width="11.42578125" style="77"/>
    <col min="8437" max="8437" width="4.42578125" style="77" bestFit="1" customWidth="1"/>
    <col min="8438" max="8438" width="15.42578125" style="77" bestFit="1" customWidth="1"/>
    <col min="8439" max="8439" width="6.42578125" style="77" bestFit="1" customWidth="1"/>
    <col min="8440" max="8441" width="11.42578125" style="77"/>
    <col min="8442" max="8453" width="16.28515625" style="77" customWidth="1"/>
    <col min="8454" max="8692" width="11.42578125" style="77"/>
    <col min="8693" max="8693" width="4.42578125" style="77" bestFit="1" customWidth="1"/>
    <col min="8694" max="8694" width="15.42578125" style="77" bestFit="1" customWidth="1"/>
    <col min="8695" max="8695" width="6.42578125" style="77" bestFit="1" customWidth="1"/>
    <col min="8696" max="8697" width="11.42578125" style="77"/>
    <col min="8698" max="8709" width="16.28515625" style="77" customWidth="1"/>
    <col min="8710" max="8948" width="11.42578125" style="77"/>
    <col min="8949" max="8949" width="4.42578125" style="77" bestFit="1" customWidth="1"/>
    <col min="8950" max="8950" width="15.42578125" style="77" bestFit="1" customWidth="1"/>
    <col min="8951" max="8951" width="6.42578125" style="77" bestFit="1" customWidth="1"/>
    <col min="8952" max="8953" width="11.42578125" style="77"/>
    <col min="8954" max="8965" width="16.28515625" style="77" customWidth="1"/>
    <col min="8966" max="9204" width="11.42578125" style="77"/>
    <col min="9205" max="9205" width="4.42578125" style="77" bestFit="1" customWidth="1"/>
    <col min="9206" max="9206" width="15.42578125" style="77" bestFit="1" customWidth="1"/>
    <col min="9207" max="9207" width="6.42578125" style="77" bestFit="1" customWidth="1"/>
    <col min="9208" max="9209" width="11.42578125" style="77"/>
    <col min="9210" max="9221" width="16.28515625" style="77" customWidth="1"/>
    <col min="9222" max="9460" width="11.42578125" style="77"/>
    <col min="9461" max="9461" width="4.42578125" style="77" bestFit="1" customWidth="1"/>
    <col min="9462" max="9462" width="15.42578125" style="77" bestFit="1" customWidth="1"/>
    <col min="9463" max="9463" width="6.42578125" style="77" bestFit="1" customWidth="1"/>
    <col min="9464" max="9465" width="11.42578125" style="77"/>
    <col min="9466" max="9477" width="16.28515625" style="77" customWidth="1"/>
    <col min="9478" max="9716" width="11.42578125" style="77"/>
    <col min="9717" max="9717" width="4.42578125" style="77" bestFit="1" customWidth="1"/>
    <col min="9718" max="9718" width="15.42578125" style="77" bestFit="1" customWidth="1"/>
    <col min="9719" max="9719" width="6.42578125" style="77" bestFit="1" customWidth="1"/>
    <col min="9720" max="9721" width="11.42578125" style="77"/>
    <col min="9722" max="9733" width="16.28515625" style="77" customWidth="1"/>
    <col min="9734" max="9972" width="11.42578125" style="77"/>
    <col min="9973" max="9973" width="4.42578125" style="77" bestFit="1" customWidth="1"/>
    <col min="9974" max="9974" width="15.42578125" style="77" bestFit="1" customWidth="1"/>
    <col min="9975" max="9975" width="6.42578125" style="77" bestFit="1" customWidth="1"/>
    <col min="9976" max="9977" width="11.42578125" style="77"/>
    <col min="9978" max="9989" width="16.28515625" style="77" customWidth="1"/>
    <col min="9990" max="10228" width="11.42578125" style="77"/>
    <col min="10229" max="10229" width="4.42578125" style="77" bestFit="1" customWidth="1"/>
    <col min="10230" max="10230" width="15.42578125" style="77" bestFit="1" customWidth="1"/>
    <col min="10231" max="10231" width="6.42578125" style="77" bestFit="1" customWidth="1"/>
    <col min="10232" max="10233" width="11.42578125" style="77"/>
    <col min="10234" max="10245" width="16.28515625" style="77" customWidth="1"/>
    <col min="10246" max="10484" width="11.42578125" style="77"/>
    <col min="10485" max="10485" width="4.42578125" style="77" bestFit="1" customWidth="1"/>
    <col min="10486" max="10486" width="15.42578125" style="77" bestFit="1" customWidth="1"/>
    <col min="10487" max="10487" width="6.42578125" style="77" bestFit="1" customWidth="1"/>
    <col min="10488" max="10489" width="11.42578125" style="77"/>
    <col min="10490" max="10501" width="16.28515625" style="77" customWidth="1"/>
    <col min="10502" max="10740" width="11.42578125" style="77"/>
    <col min="10741" max="10741" width="4.42578125" style="77" bestFit="1" customWidth="1"/>
    <col min="10742" max="10742" width="15.42578125" style="77" bestFit="1" customWidth="1"/>
    <col min="10743" max="10743" width="6.42578125" style="77" bestFit="1" customWidth="1"/>
    <col min="10744" max="10745" width="11.42578125" style="77"/>
    <col min="10746" max="10757" width="16.28515625" style="77" customWidth="1"/>
    <col min="10758" max="10996" width="11.42578125" style="77"/>
    <col min="10997" max="10997" width="4.42578125" style="77" bestFit="1" customWidth="1"/>
    <col min="10998" max="10998" width="15.42578125" style="77" bestFit="1" customWidth="1"/>
    <col min="10999" max="10999" width="6.42578125" style="77" bestFit="1" customWidth="1"/>
    <col min="11000" max="11001" width="11.42578125" style="77"/>
    <col min="11002" max="11013" width="16.28515625" style="77" customWidth="1"/>
    <col min="11014" max="11252" width="11.42578125" style="77"/>
    <col min="11253" max="11253" width="4.42578125" style="77" bestFit="1" customWidth="1"/>
    <col min="11254" max="11254" width="15.42578125" style="77" bestFit="1" customWidth="1"/>
    <col min="11255" max="11255" width="6.42578125" style="77" bestFit="1" customWidth="1"/>
    <col min="11256" max="11257" width="11.42578125" style="77"/>
    <col min="11258" max="11269" width="16.28515625" style="77" customWidth="1"/>
    <col min="11270" max="11508" width="11.42578125" style="77"/>
    <col min="11509" max="11509" width="4.42578125" style="77" bestFit="1" customWidth="1"/>
    <col min="11510" max="11510" width="15.42578125" style="77" bestFit="1" customWidth="1"/>
    <col min="11511" max="11511" width="6.42578125" style="77" bestFit="1" customWidth="1"/>
    <col min="11512" max="11513" width="11.42578125" style="77"/>
    <col min="11514" max="11525" width="16.28515625" style="77" customWidth="1"/>
    <col min="11526" max="11764" width="11.42578125" style="77"/>
    <col min="11765" max="11765" width="4.42578125" style="77" bestFit="1" customWidth="1"/>
    <col min="11766" max="11766" width="15.42578125" style="77" bestFit="1" customWidth="1"/>
    <col min="11767" max="11767" width="6.42578125" style="77" bestFit="1" customWidth="1"/>
    <col min="11768" max="11769" width="11.42578125" style="77"/>
    <col min="11770" max="11781" width="16.28515625" style="77" customWidth="1"/>
    <col min="11782" max="12020" width="11.42578125" style="77"/>
    <col min="12021" max="12021" width="4.42578125" style="77" bestFit="1" customWidth="1"/>
    <col min="12022" max="12022" width="15.42578125" style="77" bestFit="1" customWidth="1"/>
    <col min="12023" max="12023" width="6.42578125" style="77" bestFit="1" customWidth="1"/>
    <col min="12024" max="12025" width="11.42578125" style="77"/>
    <col min="12026" max="12037" width="16.28515625" style="77" customWidth="1"/>
    <col min="12038" max="12276" width="11.42578125" style="77"/>
    <col min="12277" max="12277" width="4.42578125" style="77" bestFit="1" customWidth="1"/>
    <col min="12278" max="12278" width="15.42578125" style="77" bestFit="1" customWidth="1"/>
    <col min="12279" max="12279" width="6.42578125" style="77" bestFit="1" customWidth="1"/>
    <col min="12280" max="12281" width="11.42578125" style="77"/>
    <col min="12282" max="12293" width="16.28515625" style="77" customWidth="1"/>
    <col min="12294" max="12532" width="11.42578125" style="77"/>
    <col min="12533" max="12533" width="4.42578125" style="77" bestFit="1" customWidth="1"/>
    <col min="12534" max="12534" width="15.42578125" style="77" bestFit="1" customWidth="1"/>
    <col min="12535" max="12535" width="6.42578125" style="77" bestFit="1" customWidth="1"/>
    <col min="12536" max="12537" width="11.42578125" style="77"/>
    <col min="12538" max="12549" width="16.28515625" style="77" customWidth="1"/>
    <col min="12550" max="12788" width="11.42578125" style="77"/>
    <col min="12789" max="12789" width="4.42578125" style="77" bestFit="1" customWidth="1"/>
    <col min="12790" max="12790" width="15.42578125" style="77" bestFit="1" customWidth="1"/>
    <col min="12791" max="12791" width="6.42578125" style="77" bestFit="1" customWidth="1"/>
    <col min="12792" max="12793" width="11.42578125" style="77"/>
    <col min="12794" max="12805" width="16.28515625" style="77" customWidth="1"/>
    <col min="12806" max="13044" width="11.42578125" style="77"/>
    <col min="13045" max="13045" width="4.42578125" style="77" bestFit="1" customWidth="1"/>
    <col min="13046" max="13046" width="15.42578125" style="77" bestFit="1" customWidth="1"/>
    <col min="13047" max="13047" width="6.42578125" style="77" bestFit="1" customWidth="1"/>
    <col min="13048" max="13049" width="11.42578125" style="77"/>
    <col min="13050" max="13061" width="16.28515625" style="77" customWidth="1"/>
    <col min="13062" max="13300" width="11.42578125" style="77"/>
    <col min="13301" max="13301" width="4.42578125" style="77" bestFit="1" customWidth="1"/>
    <col min="13302" max="13302" width="15.42578125" style="77" bestFit="1" customWidth="1"/>
    <col min="13303" max="13303" width="6.42578125" style="77" bestFit="1" customWidth="1"/>
    <col min="13304" max="13305" width="11.42578125" style="77"/>
    <col min="13306" max="13317" width="16.28515625" style="77" customWidth="1"/>
    <col min="13318" max="13556" width="11.42578125" style="77"/>
    <col min="13557" max="13557" width="4.42578125" style="77" bestFit="1" customWidth="1"/>
    <col min="13558" max="13558" width="15.42578125" style="77" bestFit="1" customWidth="1"/>
    <col min="13559" max="13559" width="6.42578125" style="77" bestFit="1" customWidth="1"/>
    <col min="13560" max="13561" width="11.42578125" style="77"/>
    <col min="13562" max="13573" width="16.28515625" style="77" customWidth="1"/>
    <col min="13574" max="13812" width="11.42578125" style="77"/>
    <col min="13813" max="13813" width="4.42578125" style="77" bestFit="1" customWidth="1"/>
    <col min="13814" max="13814" width="15.42578125" style="77" bestFit="1" customWidth="1"/>
    <col min="13815" max="13815" width="6.42578125" style="77" bestFit="1" customWidth="1"/>
    <col min="13816" max="13817" width="11.42578125" style="77"/>
    <col min="13818" max="13829" width="16.28515625" style="77" customWidth="1"/>
    <col min="13830" max="14068" width="11.42578125" style="77"/>
    <col min="14069" max="14069" width="4.42578125" style="77" bestFit="1" customWidth="1"/>
    <col min="14070" max="14070" width="15.42578125" style="77" bestFit="1" customWidth="1"/>
    <col min="14071" max="14071" width="6.42578125" style="77" bestFit="1" customWidth="1"/>
    <col min="14072" max="14073" width="11.42578125" style="77"/>
    <col min="14074" max="14085" width="16.28515625" style="77" customWidth="1"/>
    <col min="14086" max="14324" width="11.42578125" style="77"/>
    <col min="14325" max="14325" width="4.42578125" style="77" bestFit="1" customWidth="1"/>
    <col min="14326" max="14326" width="15.42578125" style="77" bestFit="1" customWidth="1"/>
    <col min="14327" max="14327" width="6.42578125" style="77" bestFit="1" customWidth="1"/>
    <col min="14328" max="14329" width="11.42578125" style="77"/>
    <col min="14330" max="14341" width="16.28515625" style="77" customWidth="1"/>
    <col min="14342" max="14580" width="11.42578125" style="77"/>
    <col min="14581" max="14581" width="4.42578125" style="77" bestFit="1" customWidth="1"/>
    <col min="14582" max="14582" width="15.42578125" style="77" bestFit="1" customWidth="1"/>
    <col min="14583" max="14583" width="6.42578125" style="77" bestFit="1" customWidth="1"/>
    <col min="14584" max="14585" width="11.42578125" style="77"/>
    <col min="14586" max="14597" width="16.28515625" style="77" customWidth="1"/>
    <col min="14598" max="14836" width="11.42578125" style="77"/>
    <col min="14837" max="14837" width="4.42578125" style="77" bestFit="1" customWidth="1"/>
    <col min="14838" max="14838" width="15.42578125" style="77" bestFit="1" customWidth="1"/>
    <col min="14839" max="14839" width="6.42578125" style="77" bestFit="1" customWidth="1"/>
    <col min="14840" max="14841" width="11.42578125" style="77"/>
    <col min="14842" max="14853" width="16.28515625" style="77" customWidth="1"/>
    <col min="14854" max="15092" width="11.42578125" style="77"/>
    <col min="15093" max="15093" width="4.42578125" style="77" bestFit="1" customWidth="1"/>
    <col min="15094" max="15094" width="15.42578125" style="77" bestFit="1" customWidth="1"/>
    <col min="15095" max="15095" width="6.42578125" style="77" bestFit="1" customWidth="1"/>
    <col min="15096" max="15097" width="11.42578125" style="77"/>
    <col min="15098" max="15109" width="16.28515625" style="77" customWidth="1"/>
    <col min="15110" max="15348" width="11.42578125" style="77"/>
    <col min="15349" max="15349" width="4.42578125" style="77" bestFit="1" customWidth="1"/>
    <col min="15350" max="15350" width="15.42578125" style="77" bestFit="1" customWidth="1"/>
    <col min="15351" max="15351" width="6.42578125" style="77" bestFit="1" customWidth="1"/>
    <col min="15352" max="15353" width="11.42578125" style="77"/>
    <col min="15354" max="15365" width="16.28515625" style="77" customWidth="1"/>
    <col min="15366" max="15604" width="11.42578125" style="77"/>
    <col min="15605" max="15605" width="4.42578125" style="77" bestFit="1" customWidth="1"/>
    <col min="15606" max="15606" width="15.42578125" style="77" bestFit="1" customWidth="1"/>
    <col min="15607" max="15607" width="6.42578125" style="77" bestFit="1" customWidth="1"/>
    <col min="15608" max="15609" width="11.42578125" style="77"/>
    <col min="15610" max="15621" width="16.28515625" style="77" customWidth="1"/>
    <col min="15622" max="15860" width="11.42578125" style="77"/>
    <col min="15861" max="15861" width="4.42578125" style="77" bestFit="1" customWidth="1"/>
    <col min="15862" max="15862" width="15.42578125" style="77" bestFit="1" customWidth="1"/>
    <col min="15863" max="15863" width="6.42578125" style="77" bestFit="1" customWidth="1"/>
    <col min="15864" max="15865" width="11.42578125" style="77"/>
    <col min="15866" max="15877" width="16.28515625" style="77" customWidth="1"/>
    <col min="15878" max="16116" width="11.42578125" style="77"/>
    <col min="16117" max="16117" width="4.42578125" style="77" bestFit="1" customWidth="1"/>
    <col min="16118" max="16118" width="15.42578125" style="77" bestFit="1" customWidth="1"/>
    <col min="16119" max="16119" width="6.42578125" style="77" bestFit="1" customWidth="1"/>
    <col min="16120" max="16121" width="11.42578125" style="77"/>
    <col min="16122" max="16133" width="16.28515625" style="77" customWidth="1"/>
    <col min="16134" max="16384" width="11.42578125" style="77"/>
  </cols>
  <sheetData>
    <row r="1" spans="1:20" ht="12.75" customHeight="1" x14ac:dyDescent="0.2">
      <c r="A1" s="185" t="s">
        <v>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20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20" ht="56.25" customHeight="1" x14ac:dyDescent="0.2">
      <c r="A3" s="103" t="s">
        <v>77</v>
      </c>
      <c r="B3" s="103" t="s">
        <v>78</v>
      </c>
      <c r="C3" s="104" t="s">
        <v>79</v>
      </c>
      <c r="D3" s="104" t="s">
        <v>80</v>
      </c>
      <c r="E3" s="103" t="s">
        <v>81</v>
      </c>
      <c r="F3" s="103" t="s">
        <v>82</v>
      </c>
      <c r="G3" s="103" t="s">
        <v>83</v>
      </c>
      <c r="H3" s="103" t="s">
        <v>84</v>
      </c>
      <c r="I3" s="103" t="s">
        <v>85</v>
      </c>
      <c r="J3" s="103" t="s">
        <v>92</v>
      </c>
      <c r="K3" s="103" t="s">
        <v>86</v>
      </c>
      <c r="L3" s="103" t="s">
        <v>87</v>
      </c>
      <c r="M3" s="103" t="s">
        <v>88</v>
      </c>
      <c r="N3" s="103" t="s">
        <v>89</v>
      </c>
      <c r="O3" s="103" t="s">
        <v>90</v>
      </c>
      <c r="P3" s="103" t="s">
        <v>91</v>
      </c>
      <c r="Q3" s="103" t="s">
        <v>148</v>
      </c>
      <c r="R3" s="103" t="s">
        <v>93</v>
      </c>
    </row>
    <row r="4" spans="1:20" ht="14.1" customHeight="1" x14ac:dyDescent="0.2">
      <c r="A4" s="81">
        <v>2023</v>
      </c>
      <c r="B4" s="81" t="s">
        <v>94</v>
      </c>
      <c r="C4" s="100" t="s">
        <v>23</v>
      </c>
      <c r="D4" s="101" t="s">
        <v>141</v>
      </c>
      <c r="E4" s="82" t="s">
        <v>95</v>
      </c>
      <c r="F4" s="111">
        <v>512445.75</v>
      </c>
      <c r="G4" s="111">
        <v>409959</v>
      </c>
      <c r="H4" s="111">
        <v>1227978</v>
      </c>
      <c r="I4" s="111">
        <v>0</v>
      </c>
      <c r="J4" s="111">
        <v>0</v>
      </c>
      <c r="K4" s="111">
        <v>66874.170375000002</v>
      </c>
      <c r="L4" s="111">
        <v>135764.25</v>
      </c>
      <c r="M4" s="111">
        <v>90171.75</v>
      </c>
      <c r="N4" s="111">
        <v>0</v>
      </c>
      <c r="O4" s="115">
        <v>4028394</v>
      </c>
      <c r="P4" s="111">
        <v>153733.72500000001</v>
      </c>
      <c r="Q4" s="111">
        <v>0</v>
      </c>
      <c r="R4" s="114">
        <f t="shared" ref="R4:R41" si="0">+SUM(F4:P4)</f>
        <v>6625320.6453750003</v>
      </c>
      <c r="S4" s="113">
        <v>3257590.5605000001</v>
      </c>
      <c r="T4" s="80">
        <v>135</v>
      </c>
    </row>
    <row r="5" spans="1:20" ht="14.1" customHeight="1" x14ac:dyDescent="0.2">
      <c r="A5" s="81">
        <v>2023</v>
      </c>
      <c r="B5" s="81" t="s">
        <v>96</v>
      </c>
      <c r="C5" s="100" t="s">
        <v>24</v>
      </c>
      <c r="D5" s="101" t="s">
        <v>141</v>
      </c>
      <c r="E5" s="82" t="s">
        <v>95</v>
      </c>
      <c r="F5" s="111">
        <v>591553.80000000005</v>
      </c>
      <c r="G5" s="111">
        <v>473245.2</v>
      </c>
      <c r="H5" s="111">
        <v>1469409.3</v>
      </c>
      <c r="I5" s="111">
        <v>0</v>
      </c>
      <c r="J5" s="111">
        <v>0</v>
      </c>
      <c r="K5" s="111">
        <v>77197.770900000003</v>
      </c>
      <c r="L5" s="111">
        <v>166482</v>
      </c>
      <c r="M5" s="111">
        <v>107878.5</v>
      </c>
      <c r="N5" s="111">
        <v>0</v>
      </c>
      <c r="O5" s="115">
        <v>4223268</v>
      </c>
      <c r="P5" s="111">
        <v>177466.14</v>
      </c>
      <c r="Q5" s="111">
        <v>0</v>
      </c>
      <c r="R5" s="114">
        <f t="shared" si="0"/>
        <v>7286500.7108999994</v>
      </c>
      <c r="S5" s="113">
        <v>3206407.301</v>
      </c>
      <c r="T5" s="80">
        <v>120</v>
      </c>
    </row>
    <row r="6" spans="1:20" ht="14.1" customHeight="1" x14ac:dyDescent="0.2">
      <c r="A6" s="81">
        <v>2023</v>
      </c>
      <c r="B6" s="101" t="s">
        <v>97</v>
      </c>
      <c r="C6" s="100">
        <v>4</v>
      </c>
      <c r="D6" s="101" t="s">
        <v>141</v>
      </c>
      <c r="E6" s="82" t="s">
        <v>95</v>
      </c>
      <c r="F6" s="111">
        <v>671764</v>
      </c>
      <c r="G6" s="111">
        <v>537408</v>
      </c>
      <c r="H6" s="111">
        <v>1256387</v>
      </c>
      <c r="I6" s="111">
        <v>0</v>
      </c>
      <c r="J6" s="111">
        <v>0</v>
      </c>
      <c r="K6" s="111">
        <v>87665.202000000005</v>
      </c>
      <c r="L6" s="111">
        <v>246243</v>
      </c>
      <c r="M6" s="111">
        <v>115053</v>
      </c>
      <c r="N6" s="111">
        <v>268706</v>
      </c>
      <c r="O6" s="114">
        <v>0</v>
      </c>
      <c r="P6" s="111">
        <v>0</v>
      </c>
      <c r="Q6" s="111">
        <v>264000</v>
      </c>
      <c r="R6" s="114">
        <f t="shared" si="0"/>
        <v>3183226.202</v>
      </c>
      <c r="S6" s="80"/>
      <c r="T6" s="80"/>
    </row>
    <row r="7" spans="1:20" ht="14.1" customHeight="1" x14ac:dyDescent="0.2">
      <c r="A7" s="81">
        <v>2023</v>
      </c>
      <c r="B7" s="101" t="s">
        <v>97</v>
      </c>
      <c r="C7" s="100">
        <v>5</v>
      </c>
      <c r="D7" s="101" t="s">
        <v>141</v>
      </c>
      <c r="E7" s="82" t="s">
        <v>95</v>
      </c>
      <c r="F7" s="111">
        <v>581137.20000000007</v>
      </c>
      <c r="G7" s="111">
        <v>491185.8</v>
      </c>
      <c r="H7" s="111">
        <v>1133389.8</v>
      </c>
      <c r="I7" s="111">
        <v>0</v>
      </c>
      <c r="J7" s="111">
        <v>0</v>
      </c>
      <c r="K7" s="111">
        <v>75838.404600000009</v>
      </c>
      <c r="L7" s="111">
        <v>234741.59999999998</v>
      </c>
      <c r="M7" s="111">
        <v>109799.09999999999</v>
      </c>
      <c r="N7" s="111">
        <v>0</v>
      </c>
      <c r="O7" s="114">
        <v>0</v>
      </c>
      <c r="P7" s="111">
        <v>0</v>
      </c>
      <c r="Q7" s="111">
        <v>0</v>
      </c>
      <c r="R7" s="114">
        <f t="shared" si="0"/>
        <v>2626091.9046</v>
      </c>
      <c r="S7" s="80"/>
      <c r="T7" s="80"/>
    </row>
    <row r="8" spans="1:20" ht="14.1" customHeight="1" x14ac:dyDescent="0.2">
      <c r="A8" s="81">
        <v>2023</v>
      </c>
      <c r="B8" s="101" t="s">
        <v>143</v>
      </c>
      <c r="C8" s="100">
        <v>2</v>
      </c>
      <c r="D8" s="101" t="s">
        <v>141</v>
      </c>
      <c r="E8" s="82" t="s">
        <v>95</v>
      </c>
      <c r="F8" s="111">
        <v>744455</v>
      </c>
      <c r="G8" s="111">
        <v>595564</v>
      </c>
      <c r="H8" s="111">
        <v>0</v>
      </c>
      <c r="I8" s="111">
        <v>1273018.05</v>
      </c>
      <c r="J8" s="111">
        <v>21787</v>
      </c>
      <c r="K8" s="111">
        <v>97151.377500000002</v>
      </c>
      <c r="L8" s="111">
        <v>230406</v>
      </c>
      <c r="M8" s="111">
        <v>107010</v>
      </c>
      <c r="N8" s="111">
        <v>297782</v>
      </c>
      <c r="O8" s="114">
        <v>0</v>
      </c>
      <c r="P8" s="111">
        <v>0</v>
      </c>
      <c r="Q8" s="111">
        <v>264000</v>
      </c>
      <c r="R8" s="114">
        <f t="shared" si="0"/>
        <v>3367173.4274999998</v>
      </c>
      <c r="S8" s="80"/>
      <c r="T8" s="80"/>
    </row>
    <row r="9" spans="1:20" ht="14.1" customHeight="1" x14ac:dyDescent="0.2">
      <c r="A9" s="81">
        <v>2023</v>
      </c>
      <c r="B9" s="101" t="s">
        <v>98</v>
      </c>
      <c r="C9" s="100">
        <v>5</v>
      </c>
      <c r="D9" s="101" t="s">
        <v>141</v>
      </c>
      <c r="E9" s="82" t="s">
        <v>95</v>
      </c>
      <c r="F9" s="111">
        <v>723192.96000000008</v>
      </c>
      <c r="G9" s="111">
        <v>611253.44000000006</v>
      </c>
      <c r="H9" s="111">
        <v>1239416.6400000001</v>
      </c>
      <c r="I9" s="111">
        <v>0</v>
      </c>
      <c r="J9" s="111">
        <v>0</v>
      </c>
      <c r="K9" s="111">
        <v>94376.681280000019</v>
      </c>
      <c r="L9" s="111">
        <v>297027.36000000004</v>
      </c>
      <c r="M9" s="111">
        <v>131729.92000000001</v>
      </c>
      <c r="N9" s="111">
        <v>0</v>
      </c>
      <c r="O9" s="114">
        <v>0</v>
      </c>
      <c r="P9" s="111">
        <v>0</v>
      </c>
      <c r="Q9" s="111">
        <v>0</v>
      </c>
      <c r="R9" s="114">
        <f t="shared" si="0"/>
        <v>3096997.00128</v>
      </c>
      <c r="S9" s="80"/>
      <c r="T9" s="80"/>
    </row>
    <row r="10" spans="1:20" ht="14.1" customHeight="1" x14ac:dyDescent="0.2">
      <c r="A10" s="81">
        <v>2023</v>
      </c>
      <c r="B10" s="101" t="s">
        <v>98</v>
      </c>
      <c r="C10" s="100">
        <v>6</v>
      </c>
      <c r="D10" s="101" t="s">
        <v>141</v>
      </c>
      <c r="E10" s="82" t="s">
        <v>95</v>
      </c>
      <c r="F10" s="111">
        <v>682204.32000000007</v>
      </c>
      <c r="G10" s="111">
        <v>545756.96000000008</v>
      </c>
      <c r="H10" s="111">
        <v>1159446.4000000001</v>
      </c>
      <c r="I10" s="111">
        <v>0</v>
      </c>
      <c r="J10" s="111">
        <v>0</v>
      </c>
      <c r="K10" s="111">
        <v>124246.02453969681</v>
      </c>
      <c r="L10" s="111">
        <v>313967.36000000004</v>
      </c>
      <c r="M10" s="111">
        <v>124267.36000000002</v>
      </c>
      <c r="N10" s="111">
        <v>0</v>
      </c>
      <c r="O10" s="114">
        <v>0</v>
      </c>
      <c r="P10" s="111">
        <v>0</v>
      </c>
      <c r="Q10" s="111">
        <v>0</v>
      </c>
      <c r="R10" s="114">
        <f t="shared" si="0"/>
        <v>2949888.4245396974</v>
      </c>
      <c r="S10" s="80"/>
      <c r="T10" s="80"/>
    </row>
    <row r="11" spans="1:20" ht="14.1" customHeight="1" x14ac:dyDescent="0.2">
      <c r="A11" s="81">
        <v>2023</v>
      </c>
      <c r="B11" s="101" t="s">
        <v>98</v>
      </c>
      <c r="C11" s="100">
        <v>7</v>
      </c>
      <c r="D11" s="101" t="s">
        <v>141</v>
      </c>
      <c r="E11" s="82" t="s">
        <v>95</v>
      </c>
      <c r="F11" s="111">
        <v>628824.00000000012</v>
      </c>
      <c r="G11" s="111">
        <v>497985.60000000003</v>
      </c>
      <c r="H11" s="111">
        <v>1102455.2000000002</v>
      </c>
      <c r="I11" s="111">
        <v>0</v>
      </c>
      <c r="J11" s="111">
        <v>0</v>
      </c>
      <c r="K11" s="111">
        <v>82061.532000000021</v>
      </c>
      <c r="L11" s="111">
        <v>256045.44000000003</v>
      </c>
      <c r="M11" s="111">
        <v>105551.04000000001</v>
      </c>
      <c r="N11" s="111">
        <v>0</v>
      </c>
      <c r="O11" s="114">
        <v>0</v>
      </c>
      <c r="P11" s="111">
        <v>0</v>
      </c>
      <c r="Q11" s="111">
        <v>0</v>
      </c>
      <c r="R11" s="114">
        <f t="shared" si="0"/>
        <v>2672922.8120000004</v>
      </c>
      <c r="S11" s="80"/>
      <c r="T11" s="80"/>
    </row>
    <row r="12" spans="1:20" ht="14.1" customHeight="1" x14ac:dyDescent="0.2">
      <c r="A12" s="81">
        <v>2023</v>
      </c>
      <c r="B12" s="101" t="s">
        <v>98</v>
      </c>
      <c r="C12" s="100">
        <v>8</v>
      </c>
      <c r="D12" s="101" t="s">
        <v>141</v>
      </c>
      <c r="E12" s="82" t="s">
        <v>95</v>
      </c>
      <c r="F12" s="111">
        <v>582198.4</v>
      </c>
      <c r="G12" s="111">
        <v>446635.84</v>
      </c>
      <c r="H12" s="111">
        <v>995155.84000000008</v>
      </c>
      <c r="I12" s="111">
        <v>0</v>
      </c>
      <c r="J12" s="111">
        <v>0</v>
      </c>
      <c r="K12" s="111">
        <v>75976.891200000013</v>
      </c>
      <c r="L12" s="111">
        <v>237070.40000000002</v>
      </c>
      <c r="M12" s="111">
        <v>97716.640000000014</v>
      </c>
      <c r="N12" s="111">
        <v>0</v>
      </c>
      <c r="O12" s="114">
        <v>0</v>
      </c>
      <c r="P12" s="111">
        <v>0</v>
      </c>
      <c r="Q12" s="111">
        <v>0</v>
      </c>
      <c r="R12" s="114">
        <f t="shared" si="0"/>
        <v>2434754.0112000001</v>
      </c>
      <c r="S12" s="80"/>
      <c r="T12" s="80"/>
    </row>
    <row r="13" spans="1:20" ht="14.1" customHeight="1" x14ac:dyDescent="0.2">
      <c r="A13" s="81">
        <v>2023</v>
      </c>
      <c r="B13" s="101" t="s">
        <v>144</v>
      </c>
      <c r="C13" s="100">
        <v>8</v>
      </c>
      <c r="D13" s="101" t="s">
        <v>142</v>
      </c>
      <c r="E13" s="82" t="s">
        <v>95</v>
      </c>
      <c r="F13" s="111">
        <v>582198.4</v>
      </c>
      <c r="G13" s="111">
        <v>0</v>
      </c>
      <c r="H13" s="111">
        <v>995155.84000000008</v>
      </c>
      <c r="I13" s="111">
        <v>0</v>
      </c>
      <c r="J13" s="111">
        <v>0</v>
      </c>
      <c r="K13" s="111">
        <v>75976.891200000013</v>
      </c>
      <c r="L13" s="111">
        <v>237070.40000000002</v>
      </c>
      <c r="M13" s="111">
        <v>97716.640000000014</v>
      </c>
      <c r="N13" s="111">
        <v>0</v>
      </c>
      <c r="O13" s="114">
        <v>0</v>
      </c>
      <c r="P13" s="111">
        <v>0</v>
      </c>
      <c r="Q13" s="111">
        <v>0</v>
      </c>
      <c r="R13" s="114">
        <f t="shared" si="0"/>
        <v>1988118.1712000002</v>
      </c>
      <c r="S13" s="80"/>
      <c r="T13" s="80"/>
    </row>
    <row r="14" spans="1:20" ht="14.1" customHeight="1" x14ac:dyDescent="0.2">
      <c r="A14" s="81">
        <v>2023</v>
      </c>
      <c r="B14" s="101" t="s">
        <v>98</v>
      </c>
      <c r="C14" s="100">
        <v>9</v>
      </c>
      <c r="D14" s="101" t="s">
        <v>141</v>
      </c>
      <c r="E14" s="82" t="s">
        <v>95</v>
      </c>
      <c r="F14" s="111">
        <v>539017.92000000004</v>
      </c>
      <c r="G14" s="111">
        <v>404186.72000000003</v>
      </c>
      <c r="H14" s="111">
        <v>913586.24000000011</v>
      </c>
      <c r="I14" s="111">
        <v>0</v>
      </c>
      <c r="J14" s="111">
        <v>0</v>
      </c>
      <c r="K14" s="111">
        <v>70341.838560000004</v>
      </c>
      <c r="L14" s="111">
        <v>219485.28000000003</v>
      </c>
      <c r="M14" s="111">
        <v>90494.88</v>
      </c>
      <c r="N14" s="111">
        <v>0</v>
      </c>
      <c r="O14" s="114">
        <v>0</v>
      </c>
      <c r="P14" s="111">
        <v>0</v>
      </c>
      <c r="Q14" s="111">
        <v>0</v>
      </c>
      <c r="R14" s="114">
        <f t="shared" si="0"/>
        <v>2237112.8785600001</v>
      </c>
      <c r="S14" s="80"/>
      <c r="T14" s="80"/>
    </row>
    <row r="15" spans="1:20" ht="14.1" customHeight="1" x14ac:dyDescent="0.2">
      <c r="A15" s="81">
        <v>2023</v>
      </c>
      <c r="B15" s="101" t="s">
        <v>144</v>
      </c>
      <c r="C15" s="100">
        <v>9</v>
      </c>
      <c r="D15" s="101" t="s">
        <v>142</v>
      </c>
      <c r="E15" s="82" t="s">
        <v>95</v>
      </c>
      <c r="F15" s="111">
        <v>539017.92000000004</v>
      </c>
      <c r="G15" s="111">
        <v>0</v>
      </c>
      <c r="H15" s="111">
        <v>913586.24000000011</v>
      </c>
      <c r="I15" s="111">
        <v>0</v>
      </c>
      <c r="J15" s="111">
        <v>0</v>
      </c>
      <c r="K15" s="111">
        <v>70341.838560000004</v>
      </c>
      <c r="L15" s="111">
        <v>219485.28000000003</v>
      </c>
      <c r="M15" s="111">
        <v>90494.88</v>
      </c>
      <c r="N15" s="111">
        <v>0</v>
      </c>
      <c r="O15" s="114">
        <v>0</v>
      </c>
      <c r="P15" s="111">
        <v>0</v>
      </c>
      <c r="Q15" s="111">
        <v>0</v>
      </c>
      <c r="R15" s="114">
        <f t="shared" si="0"/>
        <v>1832926.1585600004</v>
      </c>
      <c r="S15" s="80"/>
      <c r="T15" s="80"/>
    </row>
    <row r="16" spans="1:20" ht="14.1" customHeight="1" x14ac:dyDescent="0.2">
      <c r="A16" s="81">
        <v>2023</v>
      </c>
      <c r="B16" s="101" t="s">
        <v>98</v>
      </c>
      <c r="C16" s="100">
        <v>10</v>
      </c>
      <c r="D16" s="101" t="s">
        <v>141</v>
      </c>
      <c r="E16" s="82" t="s">
        <v>95</v>
      </c>
      <c r="F16" s="111">
        <v>499126.88000000006</v>
      </c>
      <c r="G16" s="111">
        <v>365774.08000000002</v>
      </c>
      <c r="H16" s="111">
        <v>835044.00000000012</v>
      </c>
      <c r="I16" s="111">
        <v>0</v>
      </c>
      <c r="J16" s="111">
        <v>0</v>
      </c>
      <c r="K16" s="111">
        <v>65136.057840000009</v>
      </c>
      <c r="L16" s="111">
        <v>203246.40000000002</v>
      </c>
      <c r="M16" s="111">
        <v>83783.840000000011</v>
      </c>
      <c r="N16" s="111">
        <v>0</v>
      </c>
      <c r="O16" s="114">
        <v>0</v>
      </c>
      <c r="P16" s="111">
        <v>0</v>
      </c>
      <c r="Q16" s="111">
        <v>0</v>
      </c>
      <c r="R16" s="114">
        <f t="shared" si="0"/>
        <v>2052111.2578400003</v>
      </c>
      <c r="S16" s="80"/>
      <c r="T16" s="80"/>
    </row>
    <row r="17" spans="1:20" ht="14.1" customHeight="1" x14ac:dyDescent="0.2">
      <c r="A17" s="81">
        <v>2023</v>
      </c>
      <c r="B17" s="101" t="s">
        <v>144</v>
      </c>
      <c r="C17" s="100">
        <v>10</v>
      </c>
      <c r="D17" s="101" t="s">
        <v>142</v>
      </c>
      <c r="E17" s="82" t="s">
        <v>95</v>
      </c>
      <c r="F17" s="111">
        <v>499126.88000000006</v>
      </c>
      <c r="G17" s="111">
        <v>0</v>
      </c>
      <c r="H17" s="111">
        <v>835044.00000000012</v>
      </c>
      <c r="I17" s="111">
        <v>0</v>
      </c>
      <c r="J17" s="111">
        <v>0</v>
      </c>
      <c r="K17" s="111">
        <v>65136.057840000009</v>
      </c>
      <c r="L17" s="111">
        <v>203246.40000000002</v>
      </c>
      <c r="M17" s="111">
        <v>83783.840000000011</v>
      </c>
      <c r="N17" s="111">
        <v>0</v>
      </c>
      <c r="O17" s="114">
        <v>0</v>
      </c>
      <c r="P17" s="111">
        <v>0</v>
      </c>
      <c r="Q17" s="111">
        <v>0</v>
      </c>
      <c r="R17" s="114">
        <f t="shared" si="0"/>
        <v>1686337.1778400003</v>
      </c>
      <c r="S17" s="80"/>
      <c r="T17" s="80"/>
    </row>
    <row r="18" spans="1:20" ht="14.1" customHeight="1" x14ac:dyDescent="0.2">
      <c r="A18" s="81">
        <v>2023</v>
      </c>
      <c r="B18" s="101" t="s">
        <v>98</v>
      </c>
      <c r="C18" s="100">
        <v>11</v>
      </c>
      <c r="D18" s="101" t="s">
        <v>141</v>
      </c>
      <c r="E18" s="82" t="s">
        <v>95</v>
      </c>
      <c r="F18" s="111">
        <v>462184.80000000005</v>
      </c>
      <c r="G18" s="111">
        <v>331023.84000000003</v>
      </c>
      <c r="H18" s="111">
        <v>766691.52</v>
      </c>
      <c r="I18" s="111">
        <v>0</v>
      </c>
      <c r="J18" s="111">
        <v>0</v>
      </c>
      <c r="K18" s="111">
        <v>60315.116400000006</v>
      </c>
      <c r="L18" s="111">
        <v>188207.04</v>
      </c>
      <c r="M18" s="111">
        <v>77591.360000000001</v>
      </c>
      <c r="N18" s="111">
        <v>0</v>
      </c>
      <c r="O18" s="114">
        <v>0</v>
      </c>
      <c r="P18" s="111">
        <v>0</v>
      </c>
      <c r="Q18" s="111">
        <v>0</v>
      </c>
      <c r="R18" s="114">
        <f t="shared" si="0"/>
        <v>1886013.6764000002</v>
      </c>
      <c r="S18" s="80"/>
      <c r="T18" s="80"/>
    </row>
    <row r="19" spans="1:20" ht="14.1" customHeight="1" x14ac:dyDescent="0.2">
      <c r="A19" s="81">
        <v>2023</v>
      </c>
      <c r="B19" s="101" t="s">
        <v>144</v>
      </c>
      <c r="C19" s="100">
        <v>11</v>
      </c>
      <c r="D19" s="101" t="s">
        <v>142</v>
      </c>
      <c r="E19" s="82" t="s">
        <v>95</v>
      </c>
      <c r="F19" s="111">
        <v>462184.80000000005</v>
      </c>
      <c r="G19" s="111">
        <v>0</v>
      </c>
      <c r="H19" s="111">
        <v>766691.52</v>
      </c>
      <c r="I19" s="111">
        <v>0</v>
      </c>
      <c r="J19" s="111">
        <v>0</v>
      </c>
      <c r="K19" s="111">
        <v>60315.116400000006</v>
      </c>
      <c r="L19" s="111">
        <v>188207.04</v>
      </c>
      <c r="M19" s="111">
        <v>77591.360000000001</v>
      </c>
      <c r="N19" s="111">
        <v>0</v>
      </c>
      <c r="O19" s="114">
        <v>0</v>
      </c>
      <c r="P19" s="111">
        <v>0</v>
      </c>
      <c r="Q19" s="111">
        <v>0</v>
      </c>
      <c r="R19" s="114">
        <f t="shared" si="0"/>
        <v>1554989.8364000001</v>
      </c>
      <c r="S19" s="80"/>
      <c r="T19" s="80"/>
    </row>
    <row r="20" spans="1:20" ht="14.1" customHeight="1" x14ac:dyDescent="0.2">
      <c r="A20" s="81">
        <v>2023</v>
      </c>
      <c r="B20" s="101" t="s">
        <v>98</v>
      </c>
      <c r="C20" s="100">
        <v>12</v>
      </c>
      <c r="D20" s="101" t="s">
        <v>141</v>
      </c>
      <c r="E20" s="82" t="s">
        <v>95</v>
      </c>
      <c r="F20" s="111">
        <v>427946.4</v>
      </c>
      <c r="G20" s="111">
        <v>299567.52</v>
      </c>
      <c r="H20" s="111">
        <v>703969.28000000003</v>
      </c>
      <c r="I20" s="111">
        <v>0</v>
      </c>
      <c r="J20" s="111">
        <v>0</v>
      </c>
      <c r="K20" s="111">
        <v>55847.005200000007</v>
      </c>
      <c r="L20" s="111">
        <v>174256.32</v>
      </c>
      <c r="M20" s="111">
        <v>71833.440000000002</v>
      </c>
      <c r="N20" s="111">
        <v>0</v>
      </c>
      <c r="O20" s="114">
        <v>0</v>
      </c>
      <c r="P20" s="111">
        <v>0</v>
      </c>
      <c r="Q20" s="111">
        <v>0</v>
      </c>
      <c r="R20" s="114">
        <f t="shared" si="0"/>
        <v>1733419.9652000002</v>
      </c>
      <c r="S20" s="80"/>
      <c r="T20" s="80"/>
    </row>
    <row r="21" spans="1:20" ht="14.1" customHeight="1" x14ac:dyDescent="0.2">
      <c r="A21" s="81">
        <v>2023</v>
      </c>
      <c r="B21" s="101" t="s">
        <v>144</v>
      </c>
      <c r="C21" s="100">
        <v>12</v>
      </c>
      <c r="D21" s="101" t="s">
        <v>142</v>
      </c>
      <c r="E21" s="82" t="s">
        <v>95</v>
      </c>
      <c r="F21" s="111">
        <v>427946.4</v>
      </c>
      <c r="G21" s="111">
        <v>0</v>
      </c>
      <c r="H21" s="111">
        <v>703969.28000000003</v>
      </c>
      <c r="I21" s="111">
        <v>0</v>
      </c>
      <c r="J21" s="111">
        <v>0</v>
      </c>
      <c r="K21" s="111">
        <v>55847.005200000007</v>
      </c>
      <c r="L21" s="111">
        <v>174256.32</v>
      </c>
      <c r="M21" s="111">
        <v>71833.440000000002</v>
      </c>
      <c r="N21" s="111">
        <v>0</v>
      </c>
      <c r="O21" s="114">
        <v>0</v>
      </c>
      <c r="P21" s="111">
        <v>0</v>
      </c>
      <c r="Q21" s="111">
        <v>0</v>
      </c>
      <c r="R21" s="114">
        <f t="shared" si="0"/>
        <v>1433852.4452000002</v>
      </c>
      <c r="S21" s="80"/>
      <c r="T21" s="80"/>
    </row>
    <row r="22" spans="1:20" ht="14.1" customHeight="1" x14ac:dyDescent="0.2">
      <c r="A22" s="81">
        <v>2023</v>
      </c>
      <c r="B22" s="101" t="s">
        <v>98</v>
      </c>
      <c r="C22" s="100">
        <v>13</v>
      </c>
      <c r="D22" s="101" t="s">
        <v>141</v>
      </c>
      <c r="E22" s="82" t="s">
        <v>95</v>
      </c>
      <c r="F22" s="111">
        <v>396233.60000000003</v>
      </c>
      <c r="G22" s="111">
        <v>269046.40000000002</v>
      </c>
      <c r="H22" s="111">
        <v>652890.56000000006</v>
      </c>
      <c r="I22" s="111">
        <v>0</v>
      </c>
      <c r="J22" s="111">
        <v>0</v>
      </c>
      <c r="K22" s="111">
        <v>51708.484800000006</v>
      </c>
      <c r="L22" s="111">
        <v>147585.76</v>
      </c>
      <c r="M22" s="111">
        <v>60848.480000000003</v>
      </c>
      <c r="N22" s="111">
        <v>0</v>
      </c>
      <c r="O22" s="114">
        <v>0</v>
      </c>
      <c r="P22" s="111">
        <v>0</v>
      </c>
      <c r="Q22" s="111">
        <v>0</v>
      </c>
      <c r="R22" s="114">
        <f t="shared" si="0"/>
        <v>1578313.2848</v>
      </c>
      <c r="S22" s="80"/>
      <c r="T22" s="80"/>
    </row>
    <row r="23" spans="1:20" ht="14.1" customHeight="1" x14ac:dyDescent="0.2">
      <c r="A23" s="81">
        <v>2023</v>
      </c>
      <c r="B23" s="101" t="s">
        <v>98</v>
      </c>
      <c r="C23" s="100">
        <v>14</v>
      </c>
      <c r="D23" s="101" t="s">
        <v>141</v>
      </c>
      <c r="E23" s="82" t="s">
        <v>95</v>
      </c>
      <c r="F23" s="111">
        <v>366824.64</v>
      </c>
      <c r="G23" s="111">
        <v>241516.80000000002</v>
      </c>
      <c r="H23" s="111">
        <v>599515.84000000008</v>
      </c>
      <c r="I23" s="111">
        <v>0</v>
      </c>
      <c r="J23" s="111">
        <v>0</v>
      </c>
      <c r="K23" s="111">
        <v>47870.615520000007</v>
      </c>
      <c r="L23" s="111">
        <v>136641.12000000002</v>
      </c>
      <c r="M23" s="111">
        <v>56333.760000000002</v>
      </c>
      <c r="N23" s="111">
        <v>0</v>
      </c>
      <c r="O23" s="114">
        <v>0</v>
      </c>
      <c r="P23" s="111">
        <v>0</v>
      </c>
      <c r="Q23" s="111">
        <v>0</v>
      </c>
      <c r="R23" s="114">
        <f t="shared" si="0"/>
        <v>1448702.7755200004</v>
      </c>
      <c r="S23" s="80"/>
      <c r="T23" s="80"/>
    </row>
    <row r="24" spans="1:20" ht="14.1" customHeight="1" x14ac:dyDescent="0.2">
      <c r="A24" s="81">
        <v>2023</v>
      </c>
      <c r="B24" s="101" t="s">
        <v>98</v>
      </c>
      <c r="C24" s="100">
        <v>15</v>
      </c>
      <c r="D24" s="101" t="s">
        <v>141</v>
      </c>
      <c r="E24" s="82" t="s">
        <v>95</v>
      </c>
      <c r="F24" s="111">
        <v>339676.96</v>
      </c>
      <c r="G24" s="111">
        <v>216793.92</v>
      </c>
      <c r="H24" s="111">
        <v>550527.04</v>
      </c>
      <c r="I24" s="111">
        <v>0</v>
      </c>
      <c r="J24" s="111">
        <v>0</v>
      </c>
      <c r="K24" s="111">
        <v>44327.843280000001</v>
      </c>
      <c r="L24" s="111">
        <v>126524.16000000002</v>
      </c>
      <c r="M24" s="111">
        <v>52123.680000000008</v>
      </c>
      <c r="N24" s="111">
        <v>0</v>
      </c>
      <c r="O24" s="114">
        <v>0</v>
      </c>
      <c r="P24" s="111">
        <v>0</v>
      </c>
      <c r="Q24" s="111">
        <v>0</v>
      </c>
      <c r="R24" s="114">
        <f t="shared" si="0"/>
        <v>1329973.6032799997</v>
      </c>
      <c r="S24" s="80"/>
      <c r="T24" s="80"/>
    </row>
    <row r="25" spans="1:20" ht="14.1" customHeight="1" x14ac:dyDescent="0.2">
      <c r="A25" s="81">
        <v>2023</v>
      </c>
      <c r="B25" s="101" t="s">
        <v>98</v>
      </c>
      <c r="C25" s="100">
        <v>23</v>
      </c>
      <c r="D25" s="101" t="s">
        <v>141</v>
      </c>
      <c r="E25" s="82" t="s">
        <v>95</v>
      </c>
      <c r="F25" s="111">
        <v>192236.80000000002</v>
      </c>
      <c r="G25" s="111">
        <v>48060.320000000007</v>
      </c>
      <c r="H25" s="111">
        <v>330053.92000000004</v>
      </c>
      <c r="I25" s="111">
        <v>0</v>
      </c>
      <c r="J25" s="111">
        <v>0</v>
      </c>
      <c r="K25" s="111">
        <v>25086.902400000003</v>
      </c>
      <c r="L25" s="111">
        <v>56239.680000000008</v>
      </c>
      <c r="M25" s="111">
        <v>22216.320000000003</v>
      </c>
      <c r="N25" s="111">
        <v>0</v>
      </c>
      <c r="O25" s="114">
        <v>0</v>
      </c>
      <c r="P25" s="111">
        <v>0</v>
      </c>
      <c r="Q25" s="111">
        <v>0</v>
      </c>
      <c r="R25" s="114">
        <f t="shared" si="0"/>
        <v>673893.94240000006</v>
      </c>
      <c r="S25" s="80"/>
      <c r="T25" s="80"/>
    </row>
    <row r="26" spans="1:20" ht="14.1" customHeight="1" x14ac:dyDescent="0.2">
      <c r="A26" s="81">
        <v>2023</v>
      </c>
      <c r="B26" s="101" t="s">
        <v>147</v>
      </c>
      <c r="C26" s="100">
        <v>9</v>
      </c>
      <c r="D26" s="101" t="s">
        <v>141</v>
      </c>
      <c r="E26" s="82" t="s">
        <v>95</v>
      </c>
      <c r="F26" s="111">
        <v>539017.92000000004</v>
      </c>
      <c r="G26" s="111">
        <v>404186.72000000003</v>
      </c>
      <c r="H26" s="111">
        <v>0</v>
      </c>
      <c r="I26" s="111">
        <v>848884.17600000009</v>
      </c>
      <c r="J26" s="111">
        <v>25205.600000000002</v>
      </c>
      <c r="K26" s="111">
        <v>70341.838560000004</v>
      </c>
      <c r="L26" s="111">
        <v>219485</v>
      </c>
      <c r="M26" s="111">
        <v>90495</v>
      </c>
      <c r="N26" s="111">
        <v>0</v>
      </c>
      <c r="O26" s="114">
        <v>0</v>
      </c>
      <c r="P26" s="111">
        <v>0</v>
      </c>
      <c r="Q26" s="111">
        <v>0</v>
      </c>
      <c r="R26" s="114">
        <f t="shared" si="0"/>
        <v>2197616.2545600003</v>
      </c>
      <c r="S26" s="80"/>
      <c r="T26" s="80"/>
    </row>
    <row r="27" spans="1:20" ht="14.1" customHeight="1" x14ac:dyDescent="0.2">
      <c r="A27" s="81">
        <v>2023</v>
      </c>
      <c r="B27" s="101" t="s">
        <v>147</v>
      </c>
      <c r="C27" s="100">
        <v>9</v>
      </c>
      <c r="D27" s="101" t="s">
        <v>142</v>
      </c>
      <c r="E27" s="82" t="s">
        <v>95</v>
      </c>
      <c r="F27" s="111">
        <v>539017.92000000004</v>
      </c>
      <c r="G27" s="111">
        <v>0</v>
      </c>
      <c r="H27" s="111">
        <v>396680.48000000004</v>
      </c>
      <c r="I27" s="111">
        <v>0</v>
      </c>
      <c r="J27" s="111">
        <v>0</v>
      </c>
      <c r="K27" s="111">
        <v>70341.838560000004</v>
      </c>
      <c r="L27" s="111">
        <v>60118.240000000005</v>
      </c>
      <c r="M27" s="111">
        <v>24782.240000000002</v>
      </c>
      <c r="N27" s="111">
        <v>0</v>
      </c>
      <c r="O27" s="114">
        <v>0</v>
      </c>
      <c r="P27" s="111">
        <v>0</v>
      </c>
      <c r="Q27" s="111">
        <v>0</v>
      </c>
      <c r="R27" s="114">
        <f t="shared" si="0"/>
        <v>1090940.7185600002</v>
      </c>
      <c r="S27" s="80"/>
      <c r="T27" s="80"/>
    </row>
    <row r="28" spans="1:20" ht="14.1" customHeight="1" x14ac:dyDescent="0.2">
      <c r="A28" s="81">
        <v>2023</v>
      </c>
      <c r="B28" s="101" t="s">
        <v>147</v>
      </c>
      <c r="C28" s="100">
        <v>10</v>
      </c>
      <c r="D28" s="101" t="s">
        <v>142</v>
      </c>
      <c r="E28" s="82" t="s">
        <v>95</v>
      </c>
      <c r="F28" s="111">
        <v>499126.88000000006</v>
      </c>
      <c r="G28" s="111">
        <v>0</v>
      </c>
      <c r="H28" s="111">
        <v>390200.16000000003</v>
      </c>
      <c r="I28" s="111">
        <v>0</v>
      </c>
      <c r="J28" s="111">
        <v>0</v>
      </c>
      <c r="K28" s="111">
        <v>65136.057840000009</v>
      </c>
      <c r="L28" s="111">
        <v>56462.560000000005</v>
      </c>
      <c r="M28" s="111">
        <v>23298.240000000002</v>
      </c>
      <c r="N28" s="111">
        <v>0</v>
      </c>
      <c r="O28" s="114">
        <v>0</v>
      </c>
      <c r="P28" s="111">
        <v>0</v>
      </c>
      <c r="Q28" s="111">
        <v>0</v>
      </c>
      <c r="R28" s="114">
        <f t="shared" si="0"/>
        <v>1034223.8978400001</v>
      </c>
      <c r="S28" s="80"/>
      <c r="T28" s="80"/>
    </row>
    <row r="29" spans="1:20" ht="14.1" customHeight="1" x14ac:dyDescent="0.2">
      <c r="A29" s="81">
        <v>2023</v>
      </c>
      <c r="B29" s="101" t="s">
        <v>147</v>
      </c>
      <c r="C29" s="100">
        <v>11</v>
      </c>
      <c r="D29" s="101" t="s">
        <v>142</v>
      </c>
      <c r="E29" s="82" t="s">
        <v>95</v>
      </c>
      <c r="F29" s="111">
        <v>462184.80000000005</v>
      </c>
      <c r="G29" s="111">
        <v>0</v>
      </c>
      <c r="H29" s="111">
        <v>381689.28</v>
      </c>
      <c r="I29" s="111">
        <v>0</v>
      </c>
      <c r="J29" s="111">
        <v>0</v>
      </c>
      <c r="K29" s="111">
        <v>60315.116400000006</v>
      </c>
      <c r="L29" s="111">
        <v>52215.520000000004</v>
      </c>
      <c r="M29" s="111">
        <v>21526.400000000001</v>
      </c>
      <c r="N29" s="111">
        <v>0</v>
      </c>
      <c r="O29" s="114">
        <v>0</v>
      </c>
      <c r="P29" s="111">
        <v>0</v>
      </c>
      <c r="Q29" s="111">
        <v>0</v>
      </c>
      <c r="R29" s="114">
        <f t="shared" si="0"/>
        <v>977931.11640000017</v>
      </c>
      <c r="S29" s="80"/>
      <c r="T29" s="80"/>
    </row>
    <row r="30" spans="1:20" ht="14.1" customHeight="1" x14ac:dyDescent="0.2">
      <c r="A30" s="81">
        <v>2023</v>
      </c>
      <c r="B30" s="101" t="s">
        <v>147</v>
      </c>
      <c r="C30" s="100">
        <v>12</v>
      </c>
      <c r="D30" s="101" t="s">
        <v>142</v>
      </c>
      <c r="E30" s="82" t="s">
        <v>95</v>
      </c>
      <c r="F30" s="111">
        <v>427946.4</v>
      </c>
      <c r="G30" s="111">
        <v>0</v>
      </c>
      <c r="H30" s="111">
        <v>373404.64</v>
      </c>
      <c r="I30" s="111">
        <v>0</v>
      </c>
      <c r="J30" s="111">
        <v>0</v>
      </c>
      <c r="K30" s="111">
        <v>55847.005200000007</v>
      </c>
      <c r="L30" s="111">
        <v>53972.800000000003</v>
      </c>
      <c r="M30" s="111">
        <v>21300.160000000003</v>
      </c>
      <c r="N30" s="111">
        <v>0</v>
      </c>
      <c r="O30" s="114">
        <v>0</v>
      </c>
      <c r="P30" s="111">
        <v>0</v>
      </c>
      <c r="Q30" s="111">
        <v>0</v>
      </c>
      <c r="R30" s="114">
        <f t="shared" si="0"/>
        <v>932471.00520000013</v>
      </c>
      <c r="S30" s="80"/>
      <c r="T30" s="80"/>
    </row>
    <row r="31" spans="1:20" ht="14.1" customHeight="1" x14ac:dyDescent="0.2">
      <c r="A31" s="81">
        <v>2023</v>
      </c>
      <c r="B31" s="101" t="s">
        <v>147</v>
      </c>
      <c r="C31" s="100">
        <v>13</v>
      </c>
      <c r="D31" s="101" t="s">
        <v>142</v>
      </c>
      <c r="E31" s="82" t="s">
        <v>95</v>
      </c>
      <c r="F31" s="111">
        <v>396233.60000000003</v>
      </c>
      <c r="G31" s="111">
        <v>0</v>
      </c>
      <c r="H31" s="111">
        <v>366124.64</v>
      </c>
      <c r="I31" s="111">
        <v>0</v>
      </c>
      <c r="J31" s="111">
        <v>0</v>
      </c>
      <c r="K31" s="111">
        <v>51708.484800000006</v>
      </c>
      <c r="L31" s="111">
        <v>50467.200000000004</v>
      </c>
      <c r="M31" s="111">
        <v>19841.920000000002</v>
      </c>
      <c r="N31" s="111">
        <v>0</v>
      </c>
      <c r="O31" s="114">
        <v>0</v>
      </c>
      <c r="P31" s="111">
        <v>0</v>
      </c>
      <c r="Q31" s="111">
        <v>0</v>
      </c>
      <c r="R31" s="114">
        <f t="shared" si="0"/>
        <v>884375.84479999996</v>
      </c>
      <c r="S31" s="80"/>
      <c r="T31" s="80"/>
    </row>
    <row r="32" spans="1:20" ht="14.1" customHeight="1" x14ac:dyDescent="0.2">
      <c r="A32" s="81">
        <v>2023</v>
      </c>
      <c r="B32" s="101" t="s">
        <v>147</v>
      </c>
      <c r="C32" s="100">
        <v>14</v>
      </c>
      <c r="D32" s="101" t="s">
        <v>142</v>
      </c>
      <c r="E32" s="82" t="s">
        <v>95</v>
      </c>
      <c r="F32" s="111">
        <v>366824.64</v>
      </c>
      <c r="G32" s="111">
        <v>0</v>
      </c>
      <c r="H32" s="111">
        <v>358675.52</v>
      </c>
      <c r="I32" s="111">
        <v>0</v>
      </c>
      <c r="J32" s="111">
        <v>0</v>
      </c>
      <c r="K32" s="111">
        <v>47870.615520000007</v>
      </c>
      <c r="L32" s="111">
        <v>45673.600000000006</v>
      </c>
      <c r="M32" s="111">
        <v>17862.88</v>
      </c>
      <c r="N32" s="111">
        <v>0</v>
      </c>
      <c r="O32" s="114">
        <v>0</v>
      </c>
      <c r="P32" s="111">
        <v>0</v>
      </c>
      <c r="Q32" s="111">
        <v>0</v>
      </c>
      <c r="R32" s="114">
        <f t="shared" si="0"/>
        <v>836907.25552000001</v>
      </c>
      <c r="S32" s="80"/>
      <c r="T32" s="80"/>
    </row>
    <row r="33" spans="1:20" ht="14.1" customHeight="1" x14ac:dyDescent="0.2">
      <c r="A33" s="81">
        <v>2023</v>
      </c>
      <c r="B33" s="101" t="s">
        <v>147</v>
      </c>
      <c r="C33" s="100">
        <v>15</v>
      </c>
      <c r="D33" s="101" t="s">
        <v>142</v>
      </c>
      <c r="E33" s="82" t="s">
        <v>95</v>
      </c>
      <c r="F33" s="111">
        <v>339676.96</v>
      </c>
      <c r="G33" s="111">
        <v>0</v>
      </c>
      <c r="H33" s="111">
        <v>346371.2</v>
      </c>
      <c r="I33" s="111">
        <v>0</v>
      </c>
      <c r="J33" s="111">
        <v>0</v>
      </c>
      <c r="K33" s="111">
        <v>44327.843280000001</v>
      </c>
      <c r="L33" s="111">
        <v>46204.480000000003</v>
      </c>
      <c r="M33" s="111">
        <v>18080.160000000003</v>
      </c>
      <c r="N33" s="111">
        <v>0</v>
      </c>
      <c r="O33" s="114">
        <v>0</v>
      </c>
      <c r="P33" s="111">
        <v>0</v>
      </c>
      <c r="Q33" s="111">
        <v>0</v>
      </c>
      <c r="R33" s="114">
        <f t="shared" si="0"/>
        <v>794660.64328000008</v>
      </c>
      <c r="S33" s="80"/>
      <c r="T33" s="80"/>
    </row>
    <row r="34" spans="1:20" ht="14.1" customHeight="1" x14ac:dyDescent="0.2">
      <c r="A34" s="81">
        <v>2023</v>
      </c>
      <c r="B34" s="101" t="s">
        <v>147</v>
      </c>
      <c r="C34" s="100">
        <v>16</v>
      </c>
      <c r="D34" s="101" t="s">
        <v>142</v>
      </c>
      <c r="E34" s="82" t="s">
        <v>95</v>
      </c>
      <c r="F34" s="111">
        <v>314453.44</v>
      </c>
      <c r="G34" s="111">
        <v>0</v>
      </c>
      <c r="H34" s="111">
        <v>329122.08</v>
      </c>
      <c r="I34" s="111">
        <v>0</v>
      </c>
      <c r="J34" s="111">
        <v>0</v>
      </c>
      <c r="K34" s="111">
        <v>41036.173920000001</v>
      </c>
      <c r="L34" s="111">
        <v>42876.960000000006</v>
      </c>
      <c r="M34" s="111">
        <v>16721.600000000002</v>
      </c>
      <c r="N34" s="111">
        <v>0</v>
      </c>
      <c r="O34" s="114">
        <v>0</v>
      </c>
      <c r="P34" s="111">
        <v>0</v>
      </c>
      <c r="Q34" s="111">
        <v>0</v>
      </c>
      <c r="R34" s="114">
        <f t="shared" si="0"/>
        <v>744210.25391999993</v>
      </c>
      <c r="S34" s="80"/>
      <c r="T34" s="80"/>
    </row>
    <row r="35" spans="1:20" ht="14.1" customHeight="1" x14ac:dyDescent="0.2">
      <c r="A35" s="81">
        <v>2023</v>
      </c>
      <c r="B35" s="101" t="s">
        <v>147</v>
      </c>
      <c r="C35" s="100">
        <v>17</v>
      </c>
      <c r="D35" s="101" t="s">
        <v>142</v>
      </c>
      <c r="E35" s="82" t="s">
        <v>95</v>
      </c>
      <c r="F35" s="111">
        <v>291169.76</v>
      </c>
      <c r="G35" s="111">
        <v>0</v>
      </c>
      <c r="H35" s="111">
        <v>323683.36000000004</v>
      </c>
      <c r="I35" s="111">
        <v>0</v>
      </c>
      <c r="J35" s="111">
        <v>0</v>
      </c>
      <c r="K35" s="111">
        <v>37997.653680000003</v>
      </c>
      <c r="L35" s="111">
        <v>40135.200000000004</v>
      </c>
      <c r="M35" s="111">
        <v>15590.400000000001</v>
      </c>
      <c r="N35" s="111">
        <v>0</v>
      </c>
      <c r="O35" s="114">
        <v>0</v>
      </c>
      <c r="P35" s="111">
        <v>0</v>
      </c>
      <c r="Q35" s="111">
        <v>0</v>
      </c>
      <c r="R35" s="114">
        <f t="shared" si="0"/>
        <v>708576.37368000008</v>
      </c>
      <c r="S35" s="80"/>
      <c r="T35" s="80"/>
    </row>
    <row r="36" spans="1:20" ht="14.1" customHeight="1" x14ac:dyDescent="0.2">
      <c r="A36" s="81">
        <v>2023</v>
      </c>
      <c r="B36" s="101" t="s">
        <v>99</v>
      </c>
      <c r="C36" s="100">
        <v>14</v>
      </c>
      <c r="D36" s="101" t="s">
        <v>142</v>
      </c>
      <c r="E36" s="82" t="s">
        <v>95</v>
      </c>
      <c r="F36" s="111">
        <v>366824.64</v>
      </c>
      <c r="G36" s="111">
        <v>0</v>
      </c>
      <c r="H36" s="111">
        <v>358675.52</v>
      </c>
      <c r="I36" s="111">
        <v>0</v>
      </c>
      <c r="J36" s="111">
        <v>0</v>
      </c>
      <c r="K36" s="111">
        <v>47870.615520000007</v>
      </c>
      <c r="L36" s="111">
        <v>45673.600000000006</v>
      </c>
      <c r="M36" s="111">
        <v>17862.88</v>
      </c>
      <c r="N36" s="111">
        <v>0</v>
      </c>
      <c r="O36" s="114">
        <v>0</v>
      </c>
      <c r="P36" s="111">
        <v>0</v>
      </c>
      <c r="Q36" s="111">
        <v>0</v>
      </c>
      <c r="R36" s="114">
        <f t="shared" si="0"/>
        <v>836907.25552000001</v>
      </c>
      <c r="S36" s="80"/>
      <c r="T36" s="80"/>
    </row>
    <row r="37" spans="1:20" ht="14.1" customHeight="1" x14ac:dyDescent="0.2">
      <c r="A37" s="81">
        <v>2023</v>
      </c>
      <c r="B37" s="101" t="s">
        <v>99</v>
      </c>
      <c r="C37" s="100">
        <v>15</v>
      </c>
      <c r="D37" s="101" t="s">
        <v>142</v>
      </c>
      <c r="E37" s="82" t="s">
        <v>95</v>
      </c>
      <c r="F37" s="111">
        <v>339676.96</v>
      </c>
      <c r="G37" s="111">
        <v>0</v>
      </c>
      <c r="H37" s="111">
        <v>346371.2</v>
      </c>
      <c r="I37" s="111">
        <v>0</v>
      </c>
      <c r="J37" s="111">
        <v>0</v>
      </c>
      <c r="K37" s="111">
        <v>44327.843280000001</v>
      </c>
      <c r="L37" s="111">
        <v>46204.480000000003</v>
      </c>
      <c r="M37" s="111">
        <v>18080.160000000003</v>
      </c>
      <c r="N37" s="111">
        <v>0</v>
      </c>
      <c r="O37" s="114">
        <v>0</v>
      </c>
      <c r="P37" s="111">
        <v>0</v>
      </c>
      <c r="Q37" s="111">
        <v>0</v>
      </c>
      <c r="R37" s="114">
        <f t="shared" si="0"/>
        <v>794660.64328000008</v>
      </c>
      <c r="S37" s="80"/>
      <c r="T37" s="80"/>
    </row>
    <row r="38" spans="1:20" ht="14.1" customHeight="1" x14ac:dyDescent="0.2">
      <c r="A38" s="81">
        <v>2023</v>
      </c>
      <c r="B38" s="101" t="s">
        <v>99</v>
      </c>
      <c r="C38" s="100">
        <v>16</v>
      </c>
      <c r="D38" s="101" t="s">
        <v>141</v>
      </c>
      <c r="E38" s="82" t="s">
        <v>95</v>
      </c>
      <c r="F38" s="111">
        <v>314453.44</v>
      </c>
      <c r="G38" s="111">
        <v>194612.32</v>
      </c>
      <c r="H38" s="111">
        <v>0</v>
      </c>
      <c r="I38" s="111">
        <v>458159.18400000001</v>
      </c>
      <c r="J38" s="111">
        <v>22505</v>
      </c>
      <c r="K38" s="111">
        <v>41036.173920000001</v>
      </c>
      <c r="L38" s="111">
        <v>117133</v>
      </c>
      <c r="M38" s="111">
        <v>48278</v>
      </c>
      <c r="N38" s="111">
        <v>0</v>
      </c>
      <c r="O38" s="114">
        <v>0</v>
      </c>
      <c r="P38" s="111">
        <v>0</v>
      </c>
      <c r="Q38" s="111">
        <v>0</v>
      </c>
      <c r="R38" s="114">
        <f t="shared" si="0"/>
        <v>1196177.1179200001</v>
      </c>
      <c r="S38" s="80"/>
      <c r="T38" s="80"/>
    </row>
    <row r="39" spans="1:20" ht="14.1" customHeight="1" x14ac:dyDescent="0.2">
      <c r="A39" s="81">
        <v>2023</v>
      </c>
      <c r="B39" s="101" t="s">
        <v>99</v>
      </c>
      <c r="C39" s="100">
        <v>16</v>
      </c>
      <c r="D39" s="101" t="s">
        <v>142</v>
      </c>
      <c r="E39" s="82" t="s">
        <v>95</v>
      </c>
      <c r="F39" s="111">
        <v>314453.44</v>
      </c>
      <c r="G39" s="111">
        <v>0</v>
      </c>
      <c r="H39" s="111">
        <v>329122.08</v>
      </c>
      <c r="I39" s="111">
        <v>0</v>
      </c>
      <c r="J39" s="111">
        <v>0</v>
      </c>
      <c r="K39" s="111">
        <v>41036.173920000001</v>
      </c>
      <c r="L39" s="111">
        <v>42876.960000000006</v>
      </c>
      <c r="M39" s="111">
        <v>16721.600000000002</v>
      </c>
      <c r="N39" s="111">
        <v>0</v>
      </c>
      <c r="O39" s="114">
        <v>0</v>
      </c>
      <c r="P39" s="111">
        <v>0</v>
      </c>
      <c r="Q39" s="111">
        <v>0</v>
      </c>
      <c r="R39" s="114">
        <f t="shared" si="0"/>
        <v>744210.25391999993</v>
      </c>
      <c r="S39" s="80"/>
      <c r="T39" s="80"/>
    </row>
    <row r="40" spans="1:20" ht="14.1" customHeight="1" x14ac:dyDescent="0.2">
      <c r="A40" s="81">
        <v>2023</v>
      </c>
      <c r="B40" s="101" t="s">
        <v>99</v>
      </c>
      <c r="C40" s="100">
        <v>17</v>
      </c>
      <c r="D40" s="101" t="s">
        <v>142</v>
      </c>
      <c r="E40" s="82" t="s">
        <v>95</v>
      </c>
      <c r="F40" s="111">
        <v>291169.76</v>
      </c>
      <c r="G40" s="111">
        <v>0</v>
      </c>
      <c r="H40" s="111">
        <v>323683.36000000004</v>
      </c>
      <c r="I40" s="111">
        <v>0</v>
      </c>
      <c r="J40" s="111">
        <v>0</v>
      </c>
      <c r="K40" s="111">
        <v>37997.653680000003</v>
      </c>
      <c r="L40" s="111">
        <v>40135.200000000004</v>
      </c>
      <c r="M40" s="111">
        <v>15590.400000000001</v>
      </c>
      <c r="N40" s="111">
        <v>0</v>
      </c>
      <c r="O40" s="114">
        <v>0</v>
      </c>
      <c r="P40" s="111">
        <v>0</v>
      </c>
      <c r="Q40" s="111">
        <v>0</v>
      </c>
      <c r="R40" s="114">
        <f t="shared" si="0"/>
        <v>708576.37368000008</v>
      </c>
      <c r="S40" s="80"/>
      <c r="T40" s="80"/>
    </row>
    <row r="41" spans="1:20" ht="14.1" customHeight="1" x14ac:dyDescent="0.2">
      <c r="A41" s="81">
        <v>2023</v>
      </c>
      <c r="B41" s="101" t="s">
        <v>100</v>
      </c>
      <c r="C41" s="100">
        <v>19</v>
      </c>
      <c r="D41" s="101" t="s">
        <v>142</v>
      </c>
      <c r="E41" s="82" t="s">
        <v>95</v>
      </c>
      <c r="F41" s="111">
        <v>251978.72000000003</v>
      </c>
      <c r="G41" s="111">
        <v>0</v>
      </c>
      <c r="H41" s="111">
        <v>307317.92000000004</v>
      </c>
      <c r="I41" s="111">
        <v>0</v>
      </c>
      <c r="J41" s="111">
        <v>0</v>
      </c>
      <c r="K41" s="111">
        <v>32883.222960000006</v>
      </c>
      <c r="L41" s="111">
        <v>42356.160000000003</v>
      </c>
      <c r="M41" s="111">
        <v>16614.080000000002</v>
      </c>
      <c r="N41" s="111">
        <v>0</v>
      </c>
      <c r="O41" s="114">
        <v>0</v>
      </c>
      <c r="P41" s="111">
        <v>0</v>
      </c>
      <c r="Q41" s="111">
        <v>0</v>
      </c>
      <c r="R41" s="114">
        <f t="shared" si="0"/>
        <v>651150.10296000016</v>
      </c>
      <c r="S41" s="80"/>
      <c r="T41" s="80"/>
    </row>
  </sheetData>
  <autoFilter ref="A3:T41" xr:uid="{00000000-0001-0000-0300-000000000000}"/>
  <mergeCells count="1">
    <mergeCell ref="A1:R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44"/>
  <sheetViews>
    <sheetView workbookViewId="0">
      <selection activeCell="H15" sqref="H15"/>
    </sheetView>
  </sheetViews>
  <sheetFormatPr baseColWidth="10" defaultRowHeight="12.75" x14ac:dyDescent="0.2"/>
  <cols>
    <col min="1" max="1" width="4.85546875" style="84" customWidth="1"/>
    <col min="2" max="2" width="15.42578125" style="85" bestFit="1" customWidth="1"/>
    <col min="3" max="3" width="6.42578125" style="84" bestFit="1" customWidth="1"/>
    <col min="4" max="4" width="12" style="84" customWidth="1"/>
    <col min="5" max="5" width="11.42578125" style="84" customWidth="1"/>
    <col min="6" max="6" width="19.85546875" style="83" bestFit="1" customWidth="1"/>
    <col min="7" max="8" width="25.5703125" style="83" bestFit="1" customWidth="1"/>
    <col min="9" max="9" width="18.7109375" style="83" customWidth="1"/>
    <col min="10" max="16384" width="11.42578125" style="77"/>
  </cols>
  <sheetData>
    <row r="1" spans="1:10" x14ac:dyDescent="0.2">
      <c r="A1" s="185" t="s">
        <v>107</v>
      </c>
      <c r="B1" s="185"/>
      <c r="C1" s="185"/>
      <c r="D1" s="185"/>
      <c r="E1" s="185"/>
      <c r="F1" s="185"/>
      <c r="G1" s="185"/>
      <c r="H1" s="185"/>
      <c r="I1" s="185"/>
    </row>
    <row r="2" spans="1:10" x14ac:dyDescent="0.2">
      <c r="A2" s="185"/>
      <c r="B2" s="185"/>
      <c r="C2" s="185"/>
      <c r="D2" s="185"/>
      <c r="E2" s="185"/>
      <c r="F2" s="185"/>
      <c r="G2" s="185"/>
      <c r="H2" s="185"/>
      <c r="I2" s="185"/>
    </row>
    <row r="3" spans="1:10" ht="12.75" customHeight="1" x14ac:dyDescent="0.2">
      <c r="A3" s="187" t="s">
        <v>77</v>
      </c>
      <c r="B3" s="187" t="s">
        <v>78</v>
      </c>
      <c r="C3" s="188" t="s">
        <v>79</v>
      </c>
      <c r="D3" s="188" t="s">
        <v>80</v>
      </c>
      <c r="E3" s="187" t="s">
        <v>106</v>
      </c>
      <c r="F3" s="187" t="s">
        <v>105</v>
      </c>
      <c r="G3" s="187"/>
      <c r="H3" s="187"/>
      <c r="I3" s="187" t="s">
        <v>104</v>
      </c>
    </row>
    <row r="4" spans="1:10" ht="38.25" x14ac:dyDescent="0.2">
      <c r="A4" s="187"/>
      <c r="B4" s="187"/>
      <c r="C4" s="188"/>
      <c r="D4" s="188"/>
      <c r="E4" s="187"/>
      <c r="F4" s="103" t="s">
        <v>103</v>
      </c>
      <c r="G4" s="103" t="s">
        <v>102</v>
      </c>
      <c r="H4" s="103" t="s">
        <v>101</v>
      </c>
      <c r="I4" s="187"/>
    </row>
    <row r="5" spans="1:10" x14ac:dyDescent="0.2">
      <c r="A5" s="187"/>
      <c r="B5" s="187"/>
      <c r="C5" s="188"/>
      <c r="D5" s="188"/>
      <c r="E5" s="187"/>
      <c r="F5" s="105">
        <v>0.15</v>
      </c>
      <c r="G5" s="106">
        <v>7.5999999999999998E-2</v>
      </c>
      <c r="H5" s="105" t="s">
        <v>145</v>
      </c>
      <c r="I5" s="187"/>
    </row>
    <row r="6" spans="1:10" x14ac:dyDescent="0.2">
      <c r="A6" s="78">
        <v>2023</v>
      </c>
      <c r="B6" s="78" t="s">
        <v>94</v>
      </c>
      <c r="C6" s="102" t="s">
        <v>23</v>
      </c>
      <c r="D6" s="79" t="s">
        <v>141</v>
      </c>
      <c r="E6" s="79" t="s">
        <v>95</v>
      </c>
      <c r="F6" s="107">
        <v>322557.41249999998</v>
      </c>
      <c r="G6" s="108">
        <v>64511.482499999998</v>
      </c>
      <c r="H6" s="108">
        <v>0</v>
      </c>
      <c r="I6" s="109">
        <f t="shared" ref="I6:I43" si="0">SUM(F6:H6)</f>
        <v>387068.89499999996</v>
      </c>
      <c r="J6" s="80"/>
    </row>
    <row r="7" spans="1:10" x14ac:dyDescent="0.2">
      <c r="A7" s="78">
        <v>2023</v>
      </c>
      <c r="B7" s="81" t="s">
        <v>96</v>
      </c>
      <c r="C7" s="100" t="s">
        <v>24</v>
      </c>
      <c r="D7" s="82" t="s">
        <v>141</v>
      </c>
      <c r="E7" s="82" t="s">
        <v>95</v>
      </c>
      <c r="F7" s="110">
        <v>380131.24499999994</v>
      </c>
      <c r="G7" s="111">
        <v>76026.248999999996</v>
      </c>
      <c r="H7" s="111">
        <v>0</v>
      </c>
      <c r="I7" s="112">
        <f t="shared" si="0"/>
        <v>456157.49399999995</v>
      </c>
      <c r="J7" s="80"/>
    </row>
    <row r="8" spans="1:10" x14ac:dyDescent="0.2">
      <c r="A8" s="78">
        <v>2023</v>
      </c>
      <c r="B8" s="101" t="s">
        <v>97</v>
      </c>
      <c r="C8" s="100">
        <v>4</v>
      </c>
      <c r="D8" s="82" t="s">
        <v>141</v>
      </c>
      <c r="E8" s="82" t="s">
        <v>95</v>
      </c>
      <c r="F8" s="110">
        <v>410139.75</v>
      </c>
      <c r="G8" s="111">
        <f>623412.42/3</f>
        <v>207804.14</v>
      </c>
      <c r="H8" s="111">
        <f>532194.3396/3</f>
        <v>177398.11319999999</v>
      </c>
      <c r="I8" s="112">
        <f t="shared" si="0"/>
        <v>795342.00320000004</v>
      </c>
      <c r="J8" s="80"/>
    </row>
    <row r="9" spans="1:10" x14ac:dyDescent="0.2">
      <c r="A9" s="78">
        <v>2023</v>
      </c>
      <c r="B9" s="101" t="s">
        <v>97</v>
      </c>
      <c r="C9" s="100">
        <v>5</v>
      </c>
      <c r="D9" s="82" t="s">
        <v>141</v>
      </c>
      <c r="E9" s="82" t="s">
        <v>95</v>
      </c>
      <c r="F9" s="110">
        <v>330856.92</v>
      </c>
      <c r="G9" s="111">
        <f>502902.5184/3</f>
        <v>167634.1728</v>
      </c>
      <c r="H9" s="111">
        <f>398811.931368/3</f>
        <v>132937.31045600001</v>
      </c>
      <c r="I9" s="112">
        <f t="shared" si="0"/>
        <v>631428.40325600002</v>
      </c>
      <c r="J9" s="80"/>
    </row>
    <row r="10" spans="1:10" x14ac:dyDescent="0.2">
      <c r="A10" s="78">
        <v>2023</v>
      </c>
      <c r="B10" s="101" t="s">
        <v>143</v>
      </c>
      <c r="C10" s="100">
        <v>2</v>
      </c>
      <c r="D10" s="82" t="s">
        <v>141</v>
      </c>
      <c r="E10" s="82" t="s">
        <v>95</v>
      </c>
      <c r="F10" s="110">
        <v>439890.90749999997</v>
      </c>
      <c r="G10" s="111">
        <f>668634.1794/3</f>
        <v>222878.05980000002</v>
      </c>
      <c r="H10" s="111">
        <f>703822.452/3</f>
        <v>234607.48400000003</v>
      </c>
      <c r="I10" s="112">
        <f t="shared" si="0"/>
        <v>897376.45130000007</v>
      </c>
      <c r="J10" s="80"/>
    </row>
    <row r="11" spans="1:10" x14ac:dyDescent="0.2">
      <c r="A11" s="78">
        <v>2023</v>
      </c>
      <c r="B11" s="101" t="s">
        <v>98</v>
      </c>
      <c r="C11" s="100">
        <v>5</v>
      </c>
      <c r="D11" s="82" t="s">
        <v>141</v>
      </c>
      <c r="E11" s="82" t="s">
        <v>95</v>
      </c>
      <c r="F11" s="110">
        <v>386079.45600000001</v>
      </c>
      <c r="G11" s="111">
        <f>586840.77312/3</f>
        <v>195613.59104</v>
      </c>
      <c r="H11" s="111">
        <f>617724.1296/3</f>
        <v>205908.04319999999</v>
      </c>
      <c r="I11" s="112">
        <f t="shared" si="0"/>
        <v>787601.09023999993</v>
      </c>
      <c r="J11" s="80"/>
    </row>
    <row r="12" spans="1:10" x14ac:dyDescent="0.2">
      <c r="A12" s="78">
        <v>2023</v>
      </c>
      <c r="B12" s="101" t="s">
        <v>98</v>
      </c>
      <c r="C12" s="100">
        <v>6</v>
      </c>
      <c r="D12" s="82" t="s">
        <v>141</v>
      </c>
      <c r="E12" s="82" t="s">
        <v>95</v>
      </c>
      <c r="F12" s="110">
        <v>358111.152</v>
      </c>
      <c r="G12" s="111">
        <f>544328.95104/3</f>
        <v>181442.98367999998</v>
      </c>
      <c r="H12" s="111">
        <f>572974.8432/3</f>
        <v>190991.61439999999</v>
      </c>
      <c r="I12" s="112">
        <f t="shared" si="0"/>
        <v>730545.75007999991</v>
      </c>
      <c r="J12" s="80"/>
    </row>
    <row r="13" spans="1:10" x14ac:dyDescent="0.2">
      <c r="A13" s="78">
        <v>2023</v>
      </c>
      <c r="B13" s="101" t="s">
        <v>98</v>
      </c>
      <c r="C13" s="100">
        <v>7</v>
      </c>
      <c r="D13" s="82" t="s">
        <v>141</v>
      </c>
      <c r="E13" s="82" t="s">
        <v>95</v>
      </c>
      <c r="F13" s="110">
        <v>334389.72000000003</v>
      </c>
      <c r="G13" s="111">
        <f>508272.3744/3</f>
        <v>169424.12479999999</v>
      </c>
      <c r="H13" s="111">
        <f>535020.552/3</f>
        <v>178340.18400000001</v>
      </c>
      <c r="I13" s="112">
        <f t="shared" si="0"/>
        <v>682154.02879999997</v>
      </c>
      <c r="J13" s="80"/>
    </row>
    <row r="14" spans="1:10" x14ac:dyDescent="0.2">
      <c r="A14" s="78">
        <v>2023</v>
      </c>
      <c r="B14" s="101" t="s">
        <v>98</v>
      </c>
      <c r="C14" s="100">
        <v>8</v>
      </c>
      <c r="D14" s="82" t="s">
        <v>141</v>
      </c>
      <c r="E14" s="82" t="s">
        <v>95</v>
      </c>
      <c r="F14" s="110">
        <v>303598.51199999999</v>
      </c>
      <c r="G14" s="111">
        <f>461469.73824/3</f>
        <v>153823.24607999998</v>
      </c>
      <c r="H14" s="111">
        <f>485754.6192/3</f>
        <v>161918.2064</v>
      </c>
      <c r="I14" s="112">
        <f t="shared" si="0"/>
        <v>619339.96447999997</v>
      </c>
      <c r="J14" s="80"/>
    </row>
    <row r="15" spans="1:10" x14ac:dyDescent="0.2">
      <c r="A15" s="78">
        <v>2023</v>
      </c>
      <c r="B15" s="101" t="s">
        <v>144</v>
      </c>
      <c r="C15" s="100">
        <v>8</v>
      </c>
      <c r="D15" s="82" t="s">
        <v>142</v>
      </c>
      <c r="E15" s="82" t="s">
        <v>95</v>
      </c>
      <c r="F15" s="110">
        <v>236603.13600000003</v>
      </c>
      <c r="G15" s="111">
        <f>359636.76672/3</f>
        <v>119878.92224</v>
      </c>
      <c r="H15" s="111">
        <f>378562.0176/3</f>
        <v>126187.3392</v>
      </c>
      <c r="I15" s="112">
        <f t="shared" si="0"/>
        <v>482669.39744000003</v>
      </c>
      <c r="J15" s="80"/>
    </row>
    <row r="16" spans="1:10" x14ac:dyDescent="0.2">
      <c r="A16" s="78">
        <v>2023</v>
      </c>
      <c r="B16" s="101" t="s">
        <v>98</v>
      </c>
      <c r="C16" s="100">
        <v>9</v>
      </c>
      <c r="D16" s="82" t="s">
        <v>141</v>
      </c>
      <c r="E16" s="82" t="s">
        <v>95</v>
      </c>
      <c r="F16" s="110">
        <v>278518.63199999998</v>
      </c>
      <c r="G16" s="111">
        <f>423348.32064/3</f>
        <v>141116.10688000001</v>
      </c>
      <c r="H16" s="111">
        <f>445626.8112/3</f>
        <v>148542.27040000001</v>
      </c>
      <c r="I16" s="112">
        <f t="shared" si="0"/>
        <v>568177.00928</v>
      </c>
      <c r="J16" s="80"/>
    </row>
    <row r="17" spans="1:10" x14ac:dyDescent="0.2">
      <c r="A17" s="78">
        <v>2023</v>
      </c>
      <c r="B17" s="101" t="s">
        <v>144</v>
      </c>
      <c r="C17" s="100">
        <v>9</v>
      </c>
      <c r="D17" s="82" t="s">
        <v>142</v>
      </c>
      <c r="E17" s="82" t="s">
        <v>95</v>
      </c>
      <c r="F17" s="110">
        <v>217890.62399999998</v>
      </c>
      <c r="G17" s="111">
        <f>331193.74848/3</f>
        <v>110397.91616000001</v>
      </c>
      <c r="H17" s="111">
        <f>348621.9984/3</f>
        <v>116207.33279999999</v>
      </c>
      <c r="I17" s="112">
        <f t="shared" si="0"/>
        <v>444495.87295999995</v>
      </c>
      <c r="J17" s="80"/>
    </row>
    <row r="18" spans="1:10" x14ac:dyDescent="0.2">
      <c r="A18" s="78">
        <v>2023</v>
      </c>
      <c r="B18" s="101" t="s">
        <v>98</v>
      </c>
      <c r="C18" s="100">
        <v>10</v>
      </c>
      <c r="D18" s="82" t="s">
        <v>141</v>
      </c>
      <c r="E18" s="82" t="s">
        <v>95</v>
      </c>
      <c r="F18" s="110">
        <v>254991.74399999998</v>
      </c>
      <c r="G18" s="111">
        <f>387587.45088/3</f>
        <v>129195.81696000001</v>
      </c>
      <c r="H18" s="111">
        <f>407983.7904/3</f>
        <v>135994.5968</v>
      </c>
      <c r="I18" s="112">
        <f t="shared" si="0"/>
        <v>520182.15775999997</v>
      </c>
      <c r="J18" s="80"/>
    </row>
    <row r="19" spans="1:10" x14ac:dyDescent="0.2">
      <c r="A19" s="78">
        <v>2023</v>
      </c>
      <c r="B19" s="101" t="s">
        <v>144</v>
      </c>
      <c r="C19" s="100">
        <v>10</v>
      </c>
      <c r="D19" s="82" t="s">
        <v>142</v>
      </c>
      <c r="E19" s="82" t="s">
        <v>95</v>
      </c>
      <c r="F19" s="110">
        <v>200125.63199999998</v>
      </c>
      <c r="G19" s="111">
        <f>304190.96064/3</f>
        <v>101396.98688</v>
      </c>
      <c r="H19" s="111">
        <f>320198.0112/3</f>
        <v>106732.6704</v>
      </c>
      <c r="I19" s="112">
        <f t="shared" si="0"/>
        <v>408255.28927999997</v>
      </c>
      <c r="J19" s="80"/>
    </row>
    <row r="20" spans="1:10" x14ac:dyDescent="0.2">
      <c r="A20" s="78">
        <v>2023</v>
      </c>
      <c r="B20" s="101" t="s">
        <v>98</v>
      </c>
      <c r="C20" s="100">
        <v>11</v>
      </c>
      <c r="D20" s="82" t="s">
        <v>141</v>
      </c>
      <c r="E20" s="82" t="s">
        <v>95</v>
      </c>
      <c r="F20" s="110">
        <v>233985.024</v>
      </c>
      <c r="G20" s="111">
        <f>355657.23648/3</f>
        <v>118552.41216000001</v>
      </c>
      <c r="H20" s="111">
        <f>374373.0384/3</f>
        <v>124791.01280000001</v>
      </c>
      <c r="I20" s="112">
        <f t="shared" si="0"/>
        <v>477328.44896000007</v>
      </c>
      <c r="J20" s="80"/>
    </row>
    <row r="21" spans="1:10" x14ac:dyDescent="0.2">
      <c r="A21" s="78">
        <v>2023</v>
      </c>
      <c r="B21" s="101" t="s">
        <v>144</v>
      </c>
      <c r="C21" s="100">
        <v>11</v>
      </c>
      <c r="D21" s="82" t="s">
        <v>142</v>
      </c>
      <c r="E21" s="82" t="s">
        <v>95</v>
      </c>
      <c r="F21" s="110">
        <v>184331.448</v>
      </c>
      <c r="G21" s="111">
        <f>280183.80096/3</f>
        <v>93394.600320000012</v>
      </c>
      <c r="H21" s="111">
        <f>294927.3168/3</f>
        <v>98309.105599999995</v>
      </c>
      <c r="I21" s="112">
        <f t="shared" si="0"/>
        <v>376035.15392000001</v>
      </c>
      <c r="J21" s="80"/>
    </row>
    <row r="22" spans="1:10" x14ac:dyDescent="0.2">
      <c r="A22" s="78">
        <v>2023</v>
      </c>
      <c r="B22" s="101" t="s">
        <v>98</v>
      </c>
      <c r="C22" s="100">
        <v>12</v>
      </c>
      <c r="D22" s="82" t="s">
        <v>141</v>
      </c>
      <c r="E22" s="82" t="s">
        <v>95</v>
      </c>
      <c r="F22" s="110">
        <v>214722.47999999998</v>
      </c>
      <c r="G22" s="111">
        <f>326378.1696/3</f>
        <v>108792.72320000001</v>
      </c>
      <c r="H22" s="111">
        <f>343552.968/3</f>
        <v>114517.656</v>
      </c>
      <c r="I22" s="112">
        <f t="shared" si="0"/>
        <v>438032.85920000001</v>
      </c>
      <c r="J22" s="80"/>
    </row>
    <row r="23" spans="1:10" x14ac:dyDescent="0.2">
      <c r="A23" s="78">
        <v>2023</v>
      </c>
      <c r="B23" s="101" t="s">
        <v>144</v>
      </c>
      <c r="C23" s="100">
        <v>12</v>
      </c>
      <c r="D23" s="82" t="s">
        <v>142</v>
      </c>
      <c r="E23" s="82" t="s">
        <v>95</v>
      </c>
      <c r="F23" s="110">
        <v>169787.35199999998</v>
      </c>
      <c r="G23" s="111">
        <f>258076.77504/3</f>
        <v>86025.591679999998</v>
      </c>
      <c r="H23" s="111">
        <f>271656.7632/3</f>
        <v>90552.254399999991</v>
      </c>
      <c r="I23" s="112">
        <f t="shared" si="0"/>
        <v>346365.19807999994</v>
      </c>
      <c r="J23" s="80"/>
    </row>
    <row r="24" spans="1:10" x14ac:dyDescent="0.2">
      <c r="A24" s="78">
        <v>2023</v>
      </c>
      <c r="B24" s="101" t="s">
        <v>98</v>
      </c>
      <c r="C24" s="100">
        <v>13</v>
      </c>
      <c r="D24" s="82" t="s">
        <v>141</v>
      </c>
      <c r="E24" s="82" t="s">
        <v>95</v>
      </c>
      <c r="F24" s="110">
        <v>197725.584</v>
      </c>
      <c r="G24" s="111">
        <f>300542.88768/3</f>
        <v>100180.96256</v>
      </c>
      <c r="H24" s="111">
        <f>316357.9344/3</f>
        <v>105452.64480000001</v>
      </c>
      <c r="I24" s="112">
        <f t="shared" si="0"/>
        <v>403359.19136</v>
      </c>
      <c r="J24" s="80"/>
    </row>
    <row r="25" spans="1:10" x14ac:dyDescent="0.2">
      <c r="A25" s="78">
        <v>2023</v>
      </c>
      <c r="B25" s="101" t="s">
        <v>98</v>
      </c>
      <c r="C25" s="100">
        <v>14</v>
      </c>
      <c r="D25" s="82" t="s">
        <v>141</v>
      </c>
      <c r="E25" s="82" t="s">
        <v>95</v>
      </c>
      <c r="F25" s="110">
        <v>181178.59199999998</v>
      </c>
      <c r="G25" s="111">
        <f>275391.45984/3</f>
        <v>91797.153280000013</v>
      </c>
      <c r="H25" s="111">
        <f>289882.7472/3</f>
        <v>96627.582399999999</v>
      </c>
      <c r="I25" s="112">
        <f t="shared" si="0"/>
        <v>369603.32767999999</v>
      </c>
      <c r="J25" s="80"/>
    </row>
    <row r="26" spans="1:10" x14ac:dyDescent="0.2">
      <c r="A26" s="78">
        <v>2023</v>
      </c>
      <c r="B26" s="101" t="s">
        <v>98</v>
      </c>
      <c r="C26" s="100">
        <v>15</v>
      </c>
      <c r="D26" s="82" t="s">
        <v>141</v>
      </c>
      <c r="E26" s="82" t="s">
        <v>95</v>
      </c>
      <c r="F26" s="110">
        <v>166049.68799999999</v>
      </c>
      <c r="G26" s="111">
        <f>252395.52576/3</f>
        <v>84131.841919999992</v>
      </c>
      <c r="H26" s="111">
        <f>265676.5008/3</f>
        <v>88558.833599999998</v>
      </c>
      <c r="I26" s="112">
        <f t="shared" si="0"/>
        <v>338740.36352000001</v>
      </c>
      <c r="J26" s="80"/>
    </row>
    <row r="27" spans="1:10" x14ac:dyDescent="0.2">
      <c r="A27" s="78">
        <v>2023</v>
      </c>
      <c r="B27" s="101" t="s">
        <v>98</v>
      </c>
      <c r="C27" s="100">
        <v>23</v>
      </c>
      <c r="D27" s="82" t="s">
        <v>141</v>
      </c>
      <c r="E27" s="82" t="s">
        <v>95</v>
      </c>
      <c r="F27" s="110">
        <v>85552.656000000003</v>
      </c>
      <c r="G27" s="111">
        <f>130040.03712/3</f>
        <v>43346.679039999995</v>
      </c>
      <c r="H27" s="111">
        <f>11615.0506848/3</f>
        <v>3871.6835616000003</v>
      </c>
      <c r="I27" s="112">
        <f t="shared" si="0"/>
        <v>132771.01860159999</v>
      </c>
      <c r="J27" s="80"/>
    </row>
    <row r="28" spans="1:10" x14ac:dyDescent="0.2">
      <c r="A28" s="78">
        <v>2023</v>
      </c>
      <c r="B28" s="101" t="s">
        <v>147</v>
      </c>
      <c r="C28" s="100">
        <v>9</v>
      </c>
      <c r="D28" s="82" t="s">
        <v>141</v>
      </c>
      <c r="E28" s="82" t="s">
        <v>95</v>
      </c>
      <c r="F28" s="110">
        <v>272594.16239999997</v>
      </c>
      <c r="G28" s="111">
        <f>414343.126848/3</f>
        <v>138114.375616</v>
      </c>
      <c r="H28" s="111">
        <f>436147.65984/3</f>
        <v>145382.55327999999</v>
      </c>
      <c r="I28" s="112">
        <f t="shared" si="0"/>
        <v>556091.09129599994</v>
      </c>
      <c r="J28" s="80"/>
    </row>
    <row r="29" spans="1:10" x14ac:dyDescent="0.2">
      <c r="A29" s="78">
        <v>2023</v>
      </c>
      <c r="B29" s="101" t="s">
        <v>147</v>
      </c>
      <c r="C29" s="100">
        <v>9</v>
      </c>
      <c r="D29" s="82" t="s">
        <v>142</v>
      </c>
      <c r="E29" s="82" t="s">
        <v>95</v>
      </c>
      <c r="F29" s="110">
        <v>140354.76</v>
      </c>
      <c r="G29" s="111">
        <f>213339.2352/3</f>
        <v>71113.078399999999</v>
      </c>
      <c r="H29" s="111">
        <f>224564.616/3</f>
        <v>74854.872000000003</v>
      </c>
      <c r="I29" s="112">
        <f t="shared" si="0"/>
        <v>286322.71039999998</v>
      </c>
      <c r="J29" s="80"/>
    </row>
    <row r="30" spans="1:10" x14ac:dyDescent="0.2">
      <c r="A30" s="78">
        <v>2023</v>
      </c>
      <c r="B30" s="101" t="s">
        <v>147</v>
      </c>
      <c r="C30" s="100">
        <v>10</v>
      </c>
      <c r="D30" s="82" t="s">
        <v>142</v>
      </c>
      <c r="E30" s="82" t="s">
        <v>95</v>
      </c>
      <c r="F30" s="110">
        <v>133399.05600000001</v>
      </c>
      <c r="G30" s="111">
        <f>202766.56512/3</f>
        <v>67588.855040000009</v>
      </c>
      <c r="H30" s="111">
        <f>213435.4896/3</f>
        <v>71145.163199999995</v>
      </c>
      <c r="I30" s="112">
        <f t="shared" si="0"/>
        <v>272133.07424000005</v>
      </c>
      <c r="J30" s="80"/>
    </row>
    <row r="31" spans="1:10" x14ac:dyDescent="0.2">
      <c r="A31" s="78">
        <v>2023</v>
      </c>
      <c r="B31" s="101" t="s">
        <v>147</v>
      </c>
      <c r="C31" s="100">
        <v>11</v>
      </c>
      <c r="D31" s="82" t="s">
        <v>142</v>
      </c>
      <c r="E31" s="82" t="s">
        <v>95</v>
      </c>
      <c r="F31" s="110">
        <v>126581.11200000001</v>
      </c>
      <c r="G31" s="111">
        <f>192403.29024/3</f>
        <v>64134.430079999998</v>
      </c>
      <c r="H31" s="111">
        <f>202526.7792/3</f>
        <v>67508.926399999997</v>
      </c>
      <c r="I31" s="112">
        <f t="shared" si="0"/>
        <v>258224.46848000001</v>
      </c>
      <c r="J31" s="80"/>
    </row>
    <row r="32" spans="1:10" x14ac:dyDescent="0.2">
      <c r="A32" s="78">
        <v>2023</v>
      </c>
      <c r="B32" s="101" t="s">
        <v>147</v>
      </c>
      <c r="C32" s="100">
        <v>12</v>
      </c>
      <c r="D32" s="82" t="s">
        <v>142</v>
      </c>
      <c r="E32" s="82" t="s">
        <v>95</v>
      </c>
      <c r="F32" s="110">
        <v>120202.656</v>
      </c>
      <c r="G32" s="111">
        <f>182708.03712/3</f>
        <v>60902.679039999995</v>
      </c>
      <c r="H32" s="111">
        <f>192321.2496/3</f>
        <v>64107.083200000001</v>
      </c>
      <c r="I32" s="112">
        <f t="shared" si="0"/>
        <v>245212.41824</v>
      </c>
      <c r="J32" s="80"/>
    </row>
    <row r="33" spans="1:10" x14ac:dyDescent="0.2">
      <c r="A33" s="78">
        <v>2023</v>
      </c>
      <c r="B33" s="101" t="s">
        <v>147</v>
      </c>
      <c r="C33" s="100">
        <v>13</v>
      </c>
      <c r="D33" s="82" t="s">
        <v>142</v>
      </c>
      <c r="E33" s="82" t="s">
        <v>95</v>
      </c>
      <c r="F33" s="110">
        <v>114353.73599999999</v>
      </c>
      <c r="G33" s="111">
        <f>173817.67872/3</f>
        <v>57939.226239999996</v>
      </c>
      <c r="H33" s="111">
        <f>182962.9776/3</f>
        <v>60987.659200000002</v>
      </c>
      <c r="I33" s="112">
        <f t="shared" si="0"/>
        <v>233280.62143999999</v>
      </c>
      <c r="J33" s="80"/>
    </row>
    <row r="34" spans="1:10" x14ac:dyDescent="0.2">
      <c r="A34" s="78">
        <v>2023</v>
      </c>
      <c r="B34" s="101" t="s">
        <v>147</v>
      </c>
      <c r="C34" s="100">
        <v>14</v>
      </c>
      <c r="D34" s="82" t="s">
        <v>142</v>
      </c>
      <c r="E34" s="82" t="s">
        <v>95</v>
      </c>
      <c r="F34" s="110">
        <v>108825.02399999999</v>
      </c>
      <c r="G34" s="111">
        <f>165414.03648/3</f>
        <v>55138.012160000006</v>
      </c>
      <c r="H34" s="111">
        <f>174117.0384/3</f>
        <v>58039.012799999997</v>
      </c>
      <c r="I34" s="112">
        <f t="shared" si="0"/>
        <v>222002.04895999999</v>
      </c>
      <c r="J34" s="80"/>
    </row>
    <row r="35" spans="1:10" x14ac:dyDescent="0.2">
      <c r="A35" s="78">
        <v>2023</v>
      </c>
      <c r="B35" s="101" t="s">
        <v>147</v>
      </c>
      <c r="C35" s="100">
        <v>15</v>
      </c>
      <c r="D35" s="82" t="s">
        <v>142</v>
      </c>
      <c r="E35" s="82" t="s">
        <v>95</v>
      </c>
      <c r="F35" s="110">
        <v>102907.224</v>
      </c>
      <c r="G35" s="111">
        <f>156418.98048/3</f>
        <v>52139.660159999999</v>
      </c>
      <c r="H35" s="111">
        <f>164648.5584/3</f>
        <v>54882.852800000001</v>
      </c>
      <c r="I35" s="112">
        <f t="shared" si="0"/>
        <v>209929.73696000001</v>
      </c>
      <c r="J35" s="80"/>
    </row>
    <row r="36" spans="1:10" x14ac:dyDescent="0.2">
      <c r="A36" s="78">
        <v>2023</v>
      </c>
      <c r="B36" s="101" t="s">
        <v>147</v>
      </c>
      <c r="C36" s="100">
        <v>16</v>
      </c>
      <c r="D36" s="82" t="s">
        <v>142</v>
      </c>
      <c r="E36" s="82" t="s">
        <v>95</v>
      </c>
      <c r="F36" s="110">
        <v>96536.327999999994</v>
      </c>
      <c r="G36" s="111">
        <v>146735.21856000001</v>
      </c>
      <c r="H36" s="111">
        <v>154455.12480000002</v>
      </c>
      <c r="I36" s="112">
        <f t="shared" si="0"/>
        <v>397726.67136000004</v>
      </c>
      <c r="J36" s="80"/>
    </row>
    <row r="37" spans="1:10" x14ac:dyDescent="0.2">
      <c r="A37" s="78">
        <v>2023</v>
      </c>
      <c r="B37" s="101" t="s">
        <v>147</v>
      </c>
      <c r="C37" s="100">
        <v>17</v>
      </c>
      <c r="D37" s="82" t="s">
        <v>142</v>
      </c>
      <c r="E37" s="82" t="s">
        <v>95</v>
      </c>
      <c r="F37" s="110">
        <v>92227.967999999993</v>
      </c>
      <c r="G37" s="111">
        <f>140186.51136/3</f>
        <v>46728.837120000004</v>
      </c>
      <c r="H37" s="111">
        <f>12521.5580544/3</f>
        <v>4173.8526848000001</v>
      </c>
      <c r="I37" s="112">
        <f t="shared" si="0"/>
        <v>143130.65780479999</v>
      </c>
      <c r="J37" s="80"/>
    </row>
    <row r="38" spans="1:10" x14ac:dyDescent="0.2">
      <c r="A38" s="78">
        <v>2023</v>
      </c>
      <c r="B38" s="101" t="s">
        <v>99</v>
      </c>
      <c r="C38" s="100">
        <v>14</v>
      </c>
      <c r="D38" s="82" t="s">
        <v>142</v>
      </c>
      <c r="E38" s="82" t="s">
        <v>95</v>
      </c>
      <c r="F38" s="110">
        <v>108825.02399999999</v>
      </c>
      <c r="G38" s="111">
        <f>165414.03648/3</f>
        <v>55138.012160000006</v>
      </c>
      <c r="H38" s="111">
        <f>174117.0384/3</f>
        <v>58039.012799999997</v>
      </c>
      <c r="I38" s="112">
        <f t="shared" si="0"/>
        <v>222002.04895999999</v>
      </c>
      <c r="J38" s="80"/>
    </row>
    <row r="39" spans="1:10" x14ac:dyDescent="0.2">
      <c r="A39" s="78">
        <v>2023</v>
      </c>
      <c r="B39" s="101" t="s">
        <v>99</v>
      </c>
      <c r="C39" s="100">
        <v>15</v>
      </c>
      <c r="D39" s="82" t="s">
        <v>142</v>
      </c>
      <c r="E39" s="82" t="s">
        <v>95</v>
      </c>
      <c r="F39" s="110">
        <v>102907.224</v>
      </c>
      <c r="G39" s="111">
        <f>156418.98048/3</f>
        <v>52139.660159999999</v>
      </c>
      <c r="H39" s="111">
        <f>164648.5584/3</f>
        <v>54882.852800000001</v>
      </c>
      <c r="I39" s="112">
        <f t="shared" si="0"/>
        <v>209929.73696000001</v>
      </c>
      <c r="J39" s="80"/>
    </row>
    <row r="40" spans="1:10" x14ac:dyDescent="0.2">
      <c r="A40" s="78">
        <v>2023</v>
      </c>
      <c r="B40" s="101" t="s">
        <v>99</v>
      </c>
      <c r="C40" s="100">
        <v>16</v>
      </c>
      <c r="D40" s="82" t="s">
        <v>141</v>
      </c>
      <c r="E40" s="82" t="s">
        <v>95</v>
      </c>
      <c r="F40" s="110">
        <v>148594.5416</v>
      </c>
      <c r="G40" s="111">
        <f>225863.703232/3</f>
        <v>75287.901077333328</v>
      </c>
      <c r="H40" s="111">
        <f>237748.26656/3</f>
        <v>79249.422186666663</v>
      </c>
      <c r="I40" s="112">
        <f t="shared" si="0"/>
        <v>303131.864864</v>
      </c>
      <c r="J40" s="80"/>
    </row>
    <row r="41" spans="1:10" x14ac:dyDescent="0.2">
      <c r="A41" s="78">
        <v>2023</v>
      </c>
      <c r="B41" s="101" t="s">
        <v>99</v>
      </c>
      <c r="C41" s="100">
        <v>16</v>
      </c>
      <c r="D41" s="82" t="s">
        <v>142</v>
      </c>
      <c r="E41" s="82" t="s">
        <v>95</v>
      </c>
      <c r="F41" s="110">
        <v>96536.327999999994</v>
      </c>
      <c r="G41" s="111">
        <f>146735.21856/3</f>
        <v>48911.739520000003</v>
      </c>
      <c r="H41" s="111">
        <f>154455.1248/3</f>
        <v>51485.041599999997</v>
      </c>
      <c r="I41" s="112">
        <f t="shared" si="0"/>
        <v>196933.10911999998</v>
      </c>
      <c r="J41" s="80"/>
    </row>
    <row r="42" spans="1:10" x14ac:dyDescent="0.2">
      <c r="A42" s="78">
        <v>2023</v>
      </c>
      <c r="B42" s="101" t="s">
        <v>99</v>
      </c>
      <c r="C42" s="100">
        <v>17</v>
      </c>
      <c r="D42" s="82" t="s">
        <v>142</v>
      </c>
      <c r="E42" s="82" t="s">
        <v>95</v>
      </c>
      <c r="F42" s="110">
        <v>92227.967999999993</v>
      </c>
      <c r="G42" s="111">
        <f>140186.51136/3</f>
        <v>46728.837120000004</v>
      </c>
      <c r="H42" s="111">
        <f>147561.7488/3</f>
        <v>49187.249600000003</v>
      </c>
      <c r="I42" s="112">
        <f t="shared" si="0"/>
        <v>188144.05472000001</v>
      </c>
      <c r="J42" s="80"/>
    </row>
    <row r="43" spans="1:10" x14ac:dyDescent="0.2">
      <c r="A43" s="78">
        <v>2023</v>
      </c>
      <c r="B43" s="101" t="s">
        <v>100</v>
      </c>
      <c r="C43" s="100">
        <v>19</v>
      </c>
      <c r="D43" s="82" t="s">
        <v>142</v>
      </c>
      <c r="E43" s="82" t="s">
        <v>95</v>
      </c>
      <c r="F43" s="110">
        <v>83894.495999999999</v>
      </c>
      <c r="G43" s="111">
        <f>127519.63392/3</f>
        <v>42506.54464</v>
      </c>
      <c r="H43" s="111">
        <f>134228.1936/3</f>
        <v>44742.731200000002</v>
      </c>
      <c r="I43" s="112">
        <f t="shared" si="0"/>
        <v>171143.77184</v>
      </c>
      <c r="J43" s="80"/>
    </row>
    <row r="44" spans="1:10" x14ac:dyDescent="0.2">
      <c r="A44" s="186" t="s">
        <v>146</v>
      </c>
      <c r="B44" s="186"/>
      <c r="C44" s="186"/>
      <c r="D44" s="186"/>
      <c r="E44" s="186"/>
      <c r="F44" s="186"/>
      <c r="G44" s="186"/>
      <c r="H44" s="186"/>
      <c r="I44" s="186"/>
    </row>
  </sheetData>
  <mergeCells count="9">
    <mergeCell ref="A44:I44"/>
    <mergeCell ref="A1:I2"/>
    <mergeCell ref="F3:H3"/>
    <mergeCell ref="A3:A5"/>
    <mergeCell ref="B3:B5"/>
    <mergeCell ref="C3:C5"/>
    <mergeCell ref="D3:D5"/>
    <mergeCell ref="E3:E5"/>
    <mergeCell ref="I3:I5"/>
  </mergeCells>
  <pageMargins left="0.70866141732283472" right="0.31496062992125984" top="0.15748031496062992" bottom="0.15748031496062992" header="0.15748031496062992" footer="0.15748031496062992"/>
  <pageSetup paperSize="226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I71"/>
  <sheetViews>
    <sheetView workbookViewId="0">
      <selection activeCell="H12" sqref="A6:H12"/>
    </sheetView>
  </sheetViews>
  <sheetFormatPr baseColWidth="10" defaultRowHeight="12.75" x14ac:dyDescent="0.2"/>
  <cols>
    <col min="1" max="1" width="5" style="84" bestFit="1" customWidth="1"/>
    <col min="2" max="2" width="15.42578125" style="85" bestFit="1" customWidth="1"/>
    <col min="3" max="3" width="6.5703125" style="84" bestFit="1" customWidth="1"/>
    <col min="4" max="4" width="10.140625" style="84" bestFit="1" customWidth="1"/>
    <col min="5" max="5" width="11.5703125" style="83" bestFit="1" customWidth="1"/>
    <col min="6" max="20" width="9.28515625" style="83" customWidth="1"/>
    <col min="21" max="16384" width="11.42578125" style="77"/>
  </cols>
  <sheetData>
    <row r="1" spans="1:35" ht="18.75" x14ac:dyDescent="0.2">
      <c r="A1" s="189" t="s">
        <v>123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35" ht="38.25" x14ac:dyDescent="0.2">
      <c r="A2" s="103" t="s">
        <v>77</v>
      </c>
      <c r="B2" s="103" t="s">
        <v>78</v>
      </c>
      <c r="C2" s="104" t="s">
        <v>79</v>
      </c>
      <c r="D2" s="103" t="s">
        <v>106</v>
      </c>
      <c r="E2" s="103" t="s">
        <v>82</v>
      </c>
      <c r="F2" s="103" t="s">
        <v>122</v>
      </c>
      <c r="G2" s="103" t="s">
        <v>121</v>
      </c>
      <c r="H2" s="103" t="s">
        <v>120</v>
      </c>
      <c r="I2" s="103" t="s">
        <v>119</v>
      </c>
      <c r="J2" s="103" t="s">
        <v>118</v>
      </c>
      <c r="K2" s="103" t="s">
        <v>117</v>
      </c>
      <c r="L2" s="103" t="s">
        <v>116</v>
      </c>
      <c r="M2" s="103" t="s">
        <v>115</v>
      </c>
      <c r="N2" s="103" t="s">
        <v>114</v>
      </c>
      <c r="O2" s="103" t="s">
        <v>113</v>
      </c>
      <c r="P2" s="103" t="s">
        <v>112</v>
      </c>
      <c r="Q2" s="103" t="s">
        <v>111</v>
      </c>
      <c r="R2" s="103" t="s">
        <v>110</v>
      </c>
      <c r="S2" s="103" t="s">
        <v>109</v>
      </c>
      <c r="T2" s="103" t="s">
        <v>108</v>
      </c>
    </row>
    <row r="3" spans="1:35" x14ac:dyDescent="0.2">
      <c r="A3" s="81">
        <v>2023</v>
      </c>
      <c r="B3" s="81" t="s">
        <v>94</v>
      </c>
      <c r="C3" s="100" t="s">
        <v>23</v>
      </c>
      <c r="D3" s="82" t="s">
        <v>95</v>
      </c>
      <c r="E3" s="116">
        <f>VLOOKUP(C3,'EUS MINAGRI'!C3:F41,4,FALSE)</f>
        <v>512445.75</v>
      </c>
      <c r="F3" s="117">
        <f t="shared" ref="F3:F34" si="0">E3*2/100</f>
        <v>10248.915000000001</v>
      </c>
      <c r="G3" s="117">
        <f t="shared" ref="G3:G34" si="1">E3*4/100</f>
        <v>20497.830000000002</v>
      </c>
      <c r="H3" s="117">
        <f t="shared" ref="H3:H34" si="2">E3*6/100</f>
        <v>30746.744999999999</v>
      </c>
      <c r="I3" s="117">
        <f t="shared" ref="I3:I34" si="3">E3*8/100</f>
        <v>40995.660000000003</v>
      </c>
      <c r="J3" s="117">
        <f t="shared" ref="J3:J34" si="4">E3*10/100</f>
        <v>51244.574999999997</v>
      </c>
      <c r="K3" s="117">
        <f t="shared" ref="K3:K34" si="5">E3*12/100</f>
        <v>61493.49</v>
      </c>
      <c r="L3" s="117">
        <f t="shared" ref="L3:L34" si="6">E3*14/100</f>
        <v>71742.404999999999</v>
      </c>
      <c r="M3" s="117">
        <f t="shared" ref="M3:M34" si="7">E3*16/100</f>
        <v>81991.320000000007</v>
      </c>
      <c r="N3" s="117">
        <f t="shared" ref="N3:N34" si="8">E3*18/100</f>
        <v>92240.235000000001</v>
      </c>
      <c r="O3" s="117">
        <f t="shared" ref="O3:O34" si="9">E3*20/100</f>
        <v>102489.15</v>
      </c>
      <c r="P3" s="117">
        <f t="shared" ref="P3:P34" si="10">E3*22/100</f>
        <v>112738.065</v>
      </c>
      <c r="Q3" s="117">
        <f t="shared" ref="Q3:Q34" si="11">E3*24/100</f>
        <v>122986.98</v>
      </c>
      <c r="R3" s="117">
        <f t="shared" ref="R3:R34" si="12">E3*26/100</f>
        <v>133235.89499999999</v>
      </c>
      <c r="S3" s="117">
        <f t="shared" ref="S3:S34" si="13">E3*28/100</f>
        <v>143484.81</v>
      </c>
      <c r="T3" s="117">
        <f t="shared" ref="T3:T34" si="14">E3*30/100</f>
        <v>153733.72500000001</v>
      </c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x14ac:dyDescent="0.2">
      <c r="A4" s="81">
        <v>2023</v>
      </c>
      <c r="B4" s="81" t="s">
        <v>96</v>
      </c>
      <c r="C4" s="100" t="s">
        <v>24</v>
      </c>
      <c r="D4" s="82" t="s">
        <v>95</v>
      </c>
      <c r="E4" s="116">
        <f>VLOOKUP(C4,'EUS MINAGRI'!C4:F42,4,FALSE)</f>
        <v>591553.80000000005</v>
      </c>
      <c r="F4" s="117">
        <f t="shared" si="0"/>
        <v>11831.076000000001</v>
      </c>
      <c r="G4" s="117">
        <f t="shared" si="1"/>
        <v>23662.152000000002</v>
      </c>
      <c r="H4" s="117">
        <f t="shared" si="2"/>
        <v>35493.228000000003</v>
      </c>
      <c r="I4" s="117">
        <f t="shared" si="3"/>
        <v>47324.304000000004</v>
      </c>
      <c r="J4" s="117">
        <f t="shared" si="4"/>
        <v>59155.38</v>
      </c>
      <c r="K4" s="117">
        <f t="shared" si="5"/>
        <v>70986.456000000006</v>
      </c>
      <c r="L4" s="117">
        <f t="shared" si="6"/>
        <v>82817.532000000007</v>
      </c>
      <c r="M4" s="117">
        <f t="shared" si="7"/>
        <v>94648.608000000007</v>
      </c>
      <c r="N4" s="117">
        <f t="shared" si="8"/>
        <v>106479.68400000001</v>
      </c>
      <c r="O4" s="117">
        <f t="shared" si="9"/>
        <v>118310.76</v>
      </c>
      <c r="P4" s="117">
        <f t="shared" si="10"/>
        <v>130141.83600000001</v>
      </c>
      <c r="Q4" s="117">
        <f t="shared" si="11"/>
        <v>141972.91200000001</v>
      </c>
      <c r="R4" s="117">
        <f t="shared" si="12"/>
        <v>153803.98800000001</v>
      </c>
      <c r="S4" s="117">
        <f t="shared" si="13"/>
        <v>165635.06400000001</v>
      </c>
      <c r="T4" s="117">
        <f t="shared" si="14"/>
        <v>177466.14</v>
      </c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x14ac:dyDescent="0.2">
      <c r="A5" s="81">
        <v>2023</v>
      </c>
      <c r="B5" s="101" t="s">
        <v>97</v>
      </c>
      <c r="C5" s="100">
        <v>4</v>
      </c>
      <c r="D5" s="82" t="s">
        <v>95</v>
      </c>
      <c r="E5" s="116">
        <f>VLOOKUP(C5,'EUS MINAGRI'!C5:F43,4,FALSE)</f>
        <v>671764</v>
      </c>
      <c r="F5" s="117">
        <f t="shared" si="0"/>
        <v>13435.28</v>
      </c>
      <c r="G5" s="117">
        <f t="shared" si="1"/>
        <v>26870.560000000001</v>
      </c>
      <c r="H5" s="117">
        <f t="shared" si="2"/>
        <v>40305.839999999997</v>
      </c>
      <c r="I5" s="117">
        <f t="shared" si="3"/>
        <v>53741.120000000003</v>
      </c>
      <c r="J5" s="117">
        <f t="shared" si="4"/>
        <v>67176.399999999994</v>
      </c>
      <c r="K5" s="117">
        <f t="shared" si="5"/>
        <v>80611.679999999993</v>
      </c>
      <c r="L5" s="117">
        <f t="shared" si="6"/>
        <v>94046.96</v>
      </c>
      <c r="M5" s="117">
        <f t="shared" si="7"/>
        <v>107482.24000000001</v>
      </c>
      <c r="N5" s="117">
        <f t="shared" si="8"/>
        <v>120917.52</v>
      </c>
      <c r="O5" s="117">
        <f t="shared" si="9"/>
        <v>134352.79999999999</v>
      </c>
      <c r="P5" s="117">
        <f t="shared" si="10"/>
        <v>147788.07999999999</v>
      </c>
      <c r="Q5" s="117">
        <f t="shared" si="11"/>
        <v>161223.35999999999</v>
      </c>
      <c r="R5" s="117">
        <f t="shared" si="12"/>
        <v>174658.64</v>
      </c>
      <c r="S5" s="117">
        <f t="shared" si="13"/>
        <v>188093.92</v>
      </c>
      <c r="T5" s="117">
        <f t="shared" si="14"/>
        <v>201529.2</v>
      </c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x14ac:dyDescent="0.2">
      <c r="A6" s="81">
        <v>2023</v>
      </c>
      <c r="B6" s="101" t="s">
        <v>97</v>
      </c>
      <c r="C6" s="100">
        <v>5</v>
      </c>
      <c r="D6" s="82" t="s">
        <v>95</v>
      </c>
      <c r="E6" s="116">
        <f>VLOOKUP(C6,'EUS MINAGRI'!C6:F44,4,FALSE)</f>
        <v>581137.20000000007</v>
      </c>
      <c r="F6" s="117">
        <f t="shared" si="0"/>
        <v>11622.744000000001</v>
      </c>
      <c r="G6" s="117">
        <f t="shared" si="1"/>
        <v>23245.488000000001</v>
      </c>
      <c r="H6" s="117">
        <f t="shared" si="2"/>
        <v>34868.232000000004</v>
      </c>
      <c r="I6" s="117">
        <f t="shared" si="3"/>
        <v>46490.976000000002</v>
      </c>
      <c r="J6" s="117">
        <f t="shared" si="4"/>
        <v>58113.720000000008</v>
      </c>
      <c r="K6" s="117">
        <f t="shared" si="5"/>
        <v>69736.464000000007</v>
      </c>
      <c r="L6" s="117">
        <f t="shared" si="6"/>
        <v>81359.208000000013</v>
      </c>
      <c r="M6" s="117">
        <f t="shared" si="7"/>
        <v>92981.952000000005</v>
      </c>
      <c r="N6" s="117">
        <f t="shared" si="8"/>
        <v>104604.69600000001</v>
      </c>
      <c r="O6" s="117">
        <f t="shared" si="9"/>
        <v>116227.44000000002</v>
      </c>
      <c r="P6" s="117">
        <f t="shared" si="10"/>
        <v>127850.18400000002</v>
      </c>
      <c r="Q6" s="117">
        <f t="shared" si="11"/>
        <v>139472.92800000001</v>
      </c>
      <c r="R6" s="117">
        <f t="shared" si="12"/>
        <v>151095.67200000002</v>
      </c>
      <c r="S6" s="117">
        <f t="shared" si="13"/>
        <v>162718.41600000003</v>
      </c>
      <c r="T6" s="117">
        <f t="shared" si="14"/>
        <v>174341.16000000003</v>
      </c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x14ac:dyDescent="0.2">
      <c r="A7" s="81">
        <v>2023</v>
      </c>
      <c r="B7" s="101" t="s">
        <v>143</v>
      </c>
      <c r="C7" s="100">
        <v>2</v>
      </c>
      <c r="D7" s="82" t="s">
        <v>95</v>
      </c>
      <c r="E7" s="116">
        <f>VLOOKUP(C7,'EUS MINAGRI'!C7:F45,4,FALSE)</f>
        <v>744455</v>
      </c>
      <c r="F7" s="117">
        <f t="shared" si="0"/>
        <v>14889.1</v>
      </c>
      <c r="G7" s="117">
        <f t="shared" si="1"/>
        <v>29778.2</v>
      </c>
      <c r="H7" s="117">
        <f t="shared" si="2"/>
        <v>44667.3</v>
      </c>
      <c r="I7" s="117">
        <f t="shared" si="3"/>
        <v>59556.4</v>
      </c>
      <c r="J7" s="117">
        <f t="shared" si="4"/>
        <v>74445.5</v>
      </c>
      <c r="K7" s="117">
        <f t="shared" si="5"/>
        <v>89334.6</v>
      </c>
      <c r="L7" s="117">
        <f t="shared" si="6"/>
        <v>104223.7</v>
      </c>
      <c r="M7" s="117">
        <f t="shared" si="7"/>
        <v>119112.8</v>
      </c>
      <c r="N7" s="117">
        <f t="shared" si="8"/>
        <v>134001.9</v>
      </c>
      <c r="O7" s="117">
        <f t="shared" si="9"/>
        <v>148891</v>
      </c>
      <c r="P7" s="117">
        <f t="shared" si="10"/>
        <v>163780.1</v>
      </c>
      <c r="Q7" s="117">
        <f t="shared" si="11"/>
        <v>178669.2</v>
      </c>
      <c r="R7" s="117">
        <f t="shared" si="12"/>
        <v>193558.3</v>
      </c>
      <c r="S7" s="117">
        <f t="shared" si="13"/>
        <v>208447.4</v>
      </c>
      <c r="T7" s="117">
        <f t="shared" si="14"/>
        <v>223336.5</v>
      </c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x14ac:dyDescent="0.2">
      <c r="A8" s="81">
        <v>2023</v>
      </c>
      <c r="B8" s="101" t="s">
        <v>98</v>
      </c>
      <c r="C8" s="100">
        <v>5</v>
      </c>
      <c r="D8" s="82" t="s">
        <v>95</v>
      </c>
      <c r="E8" s="116">
        <f>VLOOKUP(C8,'EUS MINAGRI'!C8:F46,4,FALSE)</f>
        <v>723192.96000000008</v>
      </c>
      <c r="F8" s="117">
        <f t="shared" si="0"/>
        <v>14463.859200000001</v>
      </c>
      <c r="G8" s="117">
        <f t="shared" si="1"/>
        <v>28927.718400000002</v>
      </c>
      <c r="H8" s="117">
        <f t="shared" si="2"/>
        <v>43391.577600000004</v>
      </c>
      <c r="I8" s="117">
        <f t="shared" si="3"/>
        <v>57855.436800000003</v>
      </c>
      <c r="J8" s="117">
        <f t="shared" si="4"/>
        <v>72319.296000000002</v>
      </c>
      <c r="K8" s="117">
        <f t="shared" si="5"/>
        <v>86783.155200000008</v>
      </c>
      <c r="L8" s="117">
        <f t="shared" si="6"/>
        <v>101247.01440000001</v>
      </c>
      <c r="M8" s="117">
        <f t="shared" si="7"/>
        <v>115710.87360000001</v>
      </c>
      <c r="N8" s="117">
        <f t="shared" si="8"/>
        <v>130174.73280000001</v>
      </c>
      <c r="O8" s="117">
        <f t="shared" si="9"/>
        <v>144638.592</v>
      </c>
      <c r="P8" s="117">
        <f t="shared" si="10"/>
        <v>159102.45120000001</v>
      </c>
      <c r="Q8" s="117">
        <f t="shared" si="11"/>
        <v>173566.31040000002</v>
      </c>
      <c r="R8" s="117">
        <f t="shared" si="12"/>
        <v>188030.16960000002</v>
      </c>
      <c r="S8" s="117">
        <f t="shared" si="13"/>
        <v>202494.02880000003</v>
      </c>
      <c r="T8" s="117">
        <f t="shared" si="14"/>
        <v>216957.88800000001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x14ac:dyDescent="0.2">
      <c r="A9" s="81">
        <v>2023</v>
      </c>
      <c r="B9" s="101" t="s">
        <v>98</v>
      </c>
      <c r="C9" s="100">
        <v>6</v>
      </c>
      <c r="D9" s="82" t="s">
        <v>95</v>
      </c>
      <c r="E9" s="116">
        <f>VLOOKUP(C9,'EUS MINAGRI'!C9:F47,4,FALSE)</f>
        <v>682204.32000000007</v>
      </c>
      <c r="F9" s="117">
        <f t="shared" si="0"/>
        <v>13644.086400000002</v>
      </c>
      <c r="G9" s="117">
        <f t="shared" si="1"/>
        <v>27288.172800000004</v>
      </c>
      <c r="H9" s="117">
        <f t="shared" si="2"/>
        <v>40932.2592</v>
      </c>
      <c r="I9" s="117">
        <f t="shared" si="3"/>
        <v>54576.345600000008</v>
      </c>
      <c r="J9" s="117">
        <f t="shared" si="4"/>
        <v>68220.432000000015</v>
      </c>
      <c r="K9" s="117">
        <f t="shared" si="5"/>
        <v>81864.518400000001</v>
      </c>
      <c r="L9" s="117">
        <f t="shared" si="6"/>
        <v>95508.604800000001</v>
      </c>
      <c r="M9" s="117">
        <f t="shared" si="7"/>
        <v>109152.69120000002</v>
      </c>
      <c r="N9" s="117">
        <f t="shared" si="8"/>
        <v>122796.77760000002</v>
      </c>
      <c r="O9" s="117">
        <f t="shared" si="9"/>
        <v>136440.86400000003</v>
      </c>
      <c r="P9" s="117">
        <f t="shared" si="10"/>
        <v>150084.9504</v>
      </c>
      <c r="Q9" s="117">
        <f t="shared" si="11"/>
        <v>163729.0368</v>
      </c>
      <c r="R9" s="117">
        <f t="shared" si="12"/>
        <v>177373.1232</v>
      </c>
      <c r="S9" s="117">
        <f t="shared" si="13"/>
        <v>191017.2096</v>
      </c>
      <c r="T9" s="117">
        <f t="shared" si="14"/>
        <v>204661.296</v>
      </c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x14ac:dyDescent="0.2">
      <c r="A10" s="81">
        <v>2023</v>
      </c>
      <c r="B10" s="101" t="s">
        <v>98</v>
      </c>
      <c r="C10" s="100">
        <v>7</v>
      </c>
      <c r="D10" s="82" t="s">
        <v>95</v>
      </c>
      <c r="E10" s="116">
        <f>VLOOKUP(C10,'EUS MINAGRI'!C10:F48,4,FALSE)</f>
        <v>628824.00000000012</v>
      </c>
      <c r="F10" s="117">
        <f t="shared" si="0"/>
        <v>12576.480000000003</v>
      </c>
      <c r="G10" s="117">
        <f t="shared" si="1"/>
        <v>25152.960000000006</v>
      </c>
      <c r="H10" s="117">
        <f t="shared" si="2"/>
        <v>37729.44000000001</v>
      </c>
      <c r="I10" s="117">
        <f t="shared" si="3"/>
        <v>50305.920000000013</v>
      </c>
      <c r="J10" s="117">
        <f t="shared" si="4"/>
        <v>62882.400000000009</v>
      </c>
      <c r="K10" s="117">
        <f t="shared" si="5"/>
        <v>75458.880000000019</v>
      </c>
      <c r="L10" s="117">
        <f t="shared" si="6"/>
        <v>88035.360000000015</v>
      </c>
      <c r="M10" s="117">
        <f t="shared" si="7"/>
        <v>100611.84000000003</v>
      </c>
      <c r="N10" s="117">
        <f t="shared" si="8"/>
        <v>113188.32000000002</v>
      </c>
      <c r="O10" s="117">
        <f t="shared" si="9"/>
        <v>125764.80000000002</v>
      </c>
      <c r="P10" s="117">
        <f t="shared" si="10"/>
        <v>138341.28000000003</v>
      </c>
      <c r="Q10" s="117">
        <f t="shared" si="11"/>
        <v>150917.76000000004</v>
      </c>
      <c r="R10" s="117">
        <f t="shared" si="12"/>
        <v>163494.24000000005</v>
      </c>
      <c r="S10" s="117">
        <f t="shared" si="13"/>
        <v>176070.72000000003</v>
      </c>
      <c r="T10" s="117">
        <f t="shared" si="14"/>
        <v>188647.20000000004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x14ac:dyDescent="0.2">
      <c r="A11" s="81">
        <v>2023</v>
      </c>
      <c r="B11" s="101" t="s">
        <v>98</v>
      </c>
      <c r="C11" s="100">
        <v>8</v>
      </c>
      <c r="D11" s="82" t="s">
        <v>95</v>
      </c>
      <c r="E11" s="116">
        <f>VLOOKUP(C11,'EUS MINAGRI'!C11:F49,4,FALSE)</f>
        <v>582198.4</v>
      </c>
      <c r="F11" s="117">
        <f t="shared" si="0"/>
        <v>11643.968000000001</v>
      </c>
      <c r="G11" s="117">
        <f t="shared" si="1"/>
        <v>23287.936000000002</v>
      </c>
      <c r="H11" s="117">
        <f t="shared" si="2"/>
        <v>34931.904000000002</v>
      </c>
      <c r="I11" s="117">
        <f t="shared" si="3"/>
        <v>46575.872000000003</v>
      </c>
      <c r="J11" s="117">
        <f t="shared" si="4"/>
        <v>58219.839999999997</v>
      </c>
      <c r="K11" s="117">
        <f t="shared" si="5"/>
        <v>69863.808000000005</v>
      </c>
      <c r="L11" s="117">
        <f t="shared" si="6"/>
        <v>81507.776000000013</v>
      </c>
      <c r="M11" s="117">
        <f t="shared" si="7"/>
        <v>93151.744000000006</v>
      </c>
      <c r="N11" s="117">
        <f t="shared" si="8"/>
        <v>104795.71200000001</v>
      </c>
      <c r="O11" s="117">
        <f t="shared" si="9"/>
        <v>116439.67999999999</v>
      </c>
      <c r="P11" s="117">
        <f t="shared" si="10"/>
        <v>128083.648</v>
      </c>
      <c r="Q11" s="117">
        <f t="shared" si="11"/>
        <v>139727.61600000001</v>
      </c>
      <c r="R11" s="117">
        <f t="shared" si="12"/>
        <v>151371.584</v>
      </c>
      <c r="S11" s="117">
        <f t="shared" si="13"/>
        <v>163015.55200000003</v>
      </c>
      <c r="T11" s="117">
        <f t="shared" si="14"/>
        <v>174659.52</v>
      </c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x14ac:dyDescent="0.2">
      <c r="A12" s="81">
        <v>2023</v>
      </c>
      <c r="B12" s="101" t="s">
        <v>144</v>
      </c>
      <c r="C12" s="100">
        <v>8</v>
      </c>
      <c r="D12" s="82" t="s">
        <v>95</v>
      </c>
      <c r="E12" s="116">
        <f>VLOOKUP(C12,'EUS MINAGRI'!C12:F50,4,FALSE)</f>
        <v>582198.4</v>
      </c>
      <c r="F12" s="117">
        <f t="shared" si="0"/>
        <v>11643.968000000001</v>
      </c>
      <c r="G12" s="117">
        <f t="shared" si="1"/>
        <v>23287.936000000002</v>
      </c>
      <c r="H12" s="117">
        <f t="shared" si="2"/>
        <v>34931.904000000002</v>
      </c>
      <c r="I12" s="117">
        <f t="shared" si="3"/>
        <v>46575.872000000003</v>
      </c>
      <c r="J12" s="117">
        <f t="shared" si="4"/>
        <v>58219.839999999997</v>
      </c>
      <c r="K12" s="117">
        <f t="shared" si="5"/>
        <v>69863.808000000005</v>
      </c>
      <c r="L12" s="117">
        <f t="shared" si="6"/>
        <v>81507.776000000013</v>
      </c>
      <c r="M12" s="117">
        <f t="shared" si="7"/>
        <v>93151.744000000006</v>
      </c>
      <c r="N12" s="117">
        <f t="shared" si="8"/>
        <v>104795.71200000001</v>
      </c>
      <c r="O12" s="117">
        <f t="shared" si="9"/>
        <v>116439.67999999999</v>
      </c>
      <c r="P12" s="117">
        <f t="shared" si="10"/>
        <v>128083.648</v>
      </c>
      <c r="Q12" s="117">
        <f t="shared" si="11"/>
        <v>139727.61600000001</v>
      </c>
      <c r="R12" s="117">
        <f t="shared" si="12"/>
        <v>151371.584</v>
      </c>
      <c r="S12" s="117">
        <f t="shared" si="13"/>
        <v>163015.55200000003</v>
      </c>
      <c r="T12" s="117">
        <f t="shared" si="14"/>
        <v>174659.52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x14ac:dyDescent="0.2">
      <c r="A13" s="81">
        <v>2023</v>
      </c>
      <c r="B13" s="101" t="s">
        <v>98</v>
      </c>
      <c r="C13" s="100">
        <v>9</v>
      </c>
      <c r="D13" s="82" t="s">
        <v>95</v>
      </c>
      <c r="E13" s="116">
        <f>VLOOKUP(C13,'EUS MINAGRI'!C13:F51,4,FALSE)</f>
        <v>539017.92000000004</v>
      </c>
      <c r="F13" s="117">
        <f t="shared" si="0"/>
        <v>10780.358400000001</v>
      </c>
      <c r="G13" s="117">
        <f t="shared" si="1"/>
        <v>21560.716800000002</v>
      </c>
      <c r="H13" s="117">
        <f t="shared" si="2"/>
        <v>32341.075200000007</v>
      </c>
      <c r="I13" s="117">
        <f t="shared" si="3"/>
        <v>43121.433600000004</v>
      </c>
      <c r="J13" s="117">
        <f t="shared" si="4"/>
        <v>53901.792000000001</v>
      </c>
      <c r="K13" s="117">
        <f t="shared" si="5"/>
        <v>64682.150400000013</v>
      </c>
      <c r="L13" s="117">
        <f t="shared" si="6"/>
        <v>75462.508800000011</v>
      </c>
      <c r="M13" s="117">
        <f t="shared" si="7"/>
        <v>86242.867200000008</v>
      </c>
      <c r="N13" s="117">
        <f t="shared" si="8"/>
        <v>97023.225600000005</v>
      </c>
      <c r="O13" s="117">
        <f t="shared" si="9"/>
        <v>107803.584</v>
      </c>
      <c r="P13" s="117">
        <f t="shared" si="10"/>
        <v>118583.9424</v>
      </c>
      <c r="Q13" s="117">
        <f t="shared" si="11"/>
        <v>129364.30080000003</v>
      </c>
      <c r="R13" s="117">
        <f t="shared" si="12"/>
        <v>140144.65920000002</v>
      </c>
      <c r="S13" s="117">
        <f t="shared" si="13"/>
        <v>150925.01760000002</v>
      </c>
      <c r="T13" s="117">
        <f t="shared" si="14"/>
        <v>161705.37600000002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x14ac:dyDescent="0.2">
      <c r="A14" s="81">
        <v>2023</v>
      </c>
      <c r="B14" s="101" t="s">
        <v>144</v>
      </c>
      <c r="C14" s="100">
        <v>9</v>
      </c>
      <c r="D14" s="82" t="s">
        <v>95</v>
      </c>
      <c r="E14" s="116">
        <f>VLOOKUP(C14,'EUS MINAGRI'!C14:F52,4,FALSE)</f>
        <v>539017.92000000004</v>
      </c>
      <c r="F14" s="117">
        <f t="shared" si="0"/>
        <v>10780.358400000001</v>
      </c>
      <c r="G14" s="117">
        <f t="shared" si="1"/>
        <v>21560.716800000002</v>
      </c>
      <c r="H14" s="117">
        <f t="shared" si="2"/>
        <v>32341.075200000007</v>
      </c>
      <c r="I14" s="117">
        <f t="shared" si="3"/>
        <v>43121.433600000004</v>
      </c>
      <c r="J14" s="117">
        <f t="shared" si="4"/>
        <v>53901.792000000001</v>
      </c>
      <c r="K14" s="117">
        <f t="shared" si="5"/>
        <v>64682.150400000013</v>
      </c>
      <c r="L14" s="117">
        <f t="shared" si="6"/>
        <v>75462.508800000011</v>
      </c>
      <c r="M14" s="117">
        <f t="shared" si="7"/>
        <v>86242.867200000008</v>
      </c>
      <c r="N14" s="117">
        <f t="shared" si="8"/>
        <v>97023.225600000005</v>
      </c>
      <c r="O14" s="117">
        <f t="shared" si="9"/>
        <v>107803.584</v>
      </c>
      <c r="P14" s="117">
        <f t="shared" si="10"/>
        <v>118583.9424</v>
      </c>
      <c r="Q14" s="117">
        <f t="shared" si="11"/>
        <v>129364.30080000003</v>
      </c>
      <c r="R14" s="117">
        <f t="shared" si="12"/>
        <v>140144.65920000002</v>
      </c>
      <c r="S14" s="117">
        <f t="shared" si="13"/>
        <v>150925.01760000002</v>
      </c>
      <c r="T14" s="117">
        <f t="shared" si="14"/>
        <v>161705.37600000002</v>
      </c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x14ac:dyDescent="0.2">
      <c r="A15" s="81">
        <v>2023</v>
      </c>
      <c r="B15" s="101" t="s">
        <v>98</v>
      </c>
      <c r="C15" s="100">
        <v>10</v>
      </c>
      <c r="D15" s="82" t="s">
        <v>95</v>
      </c>
      <c r="E15" s="116">
        <f>VLOOKUP(C15,'EUS MINAGRI'!C15:F53,4,FALSE)</f>
        <v>499126.88000000006</v>
      </c>
      <c r="F15" s="117">
        <f t="shared" si="0"/>
        <v>9982.5376000000015</v>
      </c>
      <c r="G15" s="117">
        <f t="shared" si="1"/>
        <v>19965.075200000003</v>
      </c>
      <c r="H15" s="117">
        <f t="shared" si="2"/>
        <v>29947.612800000003</v>
      </c>
      <c r="I15" s="117">
        <f t="shared" si="3"/>
        <v>39930.150400000006</v>
      </c>
      <c r="J15" s="117">
        <f t="shared" si="4"/>
        <v>49912.688000000009</v>
      </c>
      <c r="K15" s="117">
        <f t="shared" si="5"/>
        <v>59895.225600000005</v>
      </c>
      <c r="L15" s="117">
        <f t="shared" si="6"/>
        <v>69877.763200000016</v>
      </c>
      <c r="M15" s="117">
        <f t="shared" si="7"/>
        <v>79860.300800000012</v>
      </c>
      <c r="N15" s="117">
        <f t="shared" si="8"/>
        <v>89842.838400000022</v>
      </c>
      <c r="O15" s="117">
        <f t="shared" si="9"/>
        <v>99825.376000000018</v>
      </c>
      <c r="P15" s="117">
        <f t="shared" si="10"/>
        <v>109807.91360000001</v>
      </c>
      <c r="Q15" s="117">
        <f t="shared" si="11"/>
        <v>119790.45120000001</v>
      </c>
      <c r="R15" s="117">
        <f t="shared" si="12"/>
        <v>129772.98880000001</v>
      </c>
      <c r="S15" s="117">
        <f t="shared" si="13"/>
        <v>139755.52640000003</v>
      </c>
      <c r="T15" s="117">
        <f t="shared" si="14"/>
        <v>149738.06400000001</v>
      </c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x14ac:dyDescent="0.2">
      <c r="A16" s="81">
        <v>2023</v>
      </c>
      <c r="B16" s="101" t="s">
        <v>144</v>
      </c>
      <c r="C16" s="100">
        <v>10</v>
      </c>
      <c r="D16" s="82" t="s">
        <v>95</v>
      </c>
      <c r="E16" s="116">
        <f>VLOOKUP(C16,'EUS MINAGRI'!C16:F54,4,FALSE)</f>
        <v>499126.88000000006</v>
      </c>
      <c r="F16" s="117">
        <f t="shared" si="0"/>
        <v>9982.5376000000015</v>
      </c>
      <c r="G16" s="117">
        <f t="shared" si="1"/>
        <v>19965.075200000003</v>
      </c>
      <c r="H16" s="117">
        <f t="shared" si="2"/>
        <v>29947.612800000003</v>
      </c>
      <c r="I16" s="117">
        <f t="shared" si="3"/>
        <v>39930.150400000006</v>
      </c>
      <c r="J16" s="117">
        <f t="shared" si="4"/>
        <v>49912.688000000009</v>
      </c>
      <c r="K16" s="117">
        <f t="shared" si="5"/>
        <v>59895.225600000005</v>
      </c>
      <c r="L16" s="117">
        <f t="shared" si="6"/>
        <v>69877.763200000016</v>
      </c>
      <c r="M16" s="117">
        <f t="shared" si="7"/>
        <v>79860.300800000012</v>
      </c>
      <c r="N16" s="117">
        <f t="shared" si="8"/>
        <v>89842.838400000022</v>
      </c>
      <c r="O16" s="117">
        <f t="shared" si="9"/>
        <v>99825.376000000018</v>
      </c>
      <c r="P16" s="117">
        <f t="shared" si="10"/>
        <v>109807.91360000001</v>
      </c>
      <c r="Q16" s="117">
        <f t="shared" si="11"/>
        <v>119790.45120000001</v>
      </c>
      <c r="R16" s="117">
        <f t="shared" si="12"/>
        <v>129772.98880000001</v>
      </c>
      <c r="S16" s="117">
        <f t="shared" si="13"/>
        <v>139755.52640000003</v>
      </c>
      <c r="T16" s="117">
        <f t="shared" si="14"/>
        <v>149738.06400000001</v>
      </c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x14ac:dyDescent="0.2">
      <c r="A17" s="81">
        <v>2023</v>
      </c>
      <c r="B17" s="101" t="s">
        <v>98</v>
      </c>
      <c r="C17" s="100">
        <v>11</v>
      </c>
      <c r="D17" s="82" t="s">
        <v>95</v>
      </c>
      <c r="E17" s="116">
        <f>VLOOKUP(C17,'EUS MINAGRI'!C17:F55,4,FALSE)</f>
        <v>462184.80000000005</v>
      </c>
      <c r="F17" s="117">
        <f t="shared" si="0"/>
        <v>9243.6960000000017</v>
      </c>
      <c r="G17" s="117">
        <f t="shared" si="1"/>
        <v>18487.392000000003</v>
      </c>
      <c r="H17" s="117">
        <f t="shared" si="2"/>
        <v>27731.088000000003</v>
      </c>
      <c r="I17" s="117">
        <f t="shared" si="3"/>
        <v>36974.784000000007</v>
      </c>
      <c r="J17" s="117">
        <f t="shared" si="4"/>
        <v>46218.48</v>
      </c>
      <c r="K17" s="117">
        <f t="shared" si="5"/>
        <v>55462.176000000007</v>
      </c>
      <c r="L17" s="117">
        <f t="shared" si="6"/>
        <v>64705.87200000001</v>
      </c>
      <c r="M17" s="117">
        <f t="shared" si="7"/>
        <v>73949.568000000014</v>
      </c>
      <c r="N17" s="117">
        <f t="shared" si="8"/>
        <v>83193.26400000001</v>
      </c>
      <c r="O17" s="117">
        <f t="shared" si="9"/>
        <v>92436.96</v>
      </c>
      <c r="P17" s="117">
        <f t="shared" si="10"/>
        <v>101680.65600000002</v>
      </c>
      <c r="Q17" s="117">
        <f t="shared" si="11"/>
        <v>110924.35200000001</v>
      </c>
      <c r="R17" s="117">
        <f t="shared" si="12"/>
        <v>120168.04800000001</v>
      </c>
      <c r="S17" s="117">
        <f t="shared" si="13"/>
        <v>129411.74400000002</v>
      </c>
      <c r="T17" s="117">
        <f t="shared" si="14"/>
        <v>138655.44000000003</v>
      </c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x14ac:dyDescent="0.2">
      <c r="A18" s="81">
        <v>2023</v>
      </c>
      <c r="B18" s="101" t="s">
        <v>144</v>
      </c>
      <c r="C18" s="100">
        <v>11</v>
      </c>
      <c r="D18" s="82" t="s">
        <v>95</v>
      </c>
      <c r="E18" s="116">
        <f>VLOOKUP(C18,'EUS MINAGRI'!C18:F56,4,FALSE)</f>
        <v>462184.80000000005</v>
      </c>
      <c r="F18" s="117">
        <f t="shared" si="0"/>
        <v>9243.6960000000017</v>
      </c>
      <c r="G18" s="117">
        <f t="shared" si="1"/>
        <v>18487.392000000003</v>
      </c>
      <c r="H18" s="117">
        <f t="shared" si="2"/>
        <v>27731.088000000003</v>
      </c>
      <c r="I18" s="117">
        <f t="shared" si="3"/>
        <v>36974.784000000007</v>
      </c>
      <c r="J18" s="117">
        <f t="shared" si="4"/>
        <v>46218.48</v>
      </c>
      <c r="K18" s="117">
        <f t="shared" si="5"/>
        <v>55462.176000000007</v>
      </c>
      <c r="L18" s="117">
        <f t="shared" si="6"/>
        <v>64705.87200000001</v>
      </c>
      <c r="M18" s="117">
        <f t="shared" si="7"/>
        <v>73949.568000000014</v>
      </c>
      <c r="N18" s="117">
        <f t="shared" si="8"/>
        <v>83193.26400000001</v>
      </c>
      <c r="O18" s="117">
        <f t="shared" si="9"/>
        <v>92436.96</v>
      </c>
      <c r="P18" s="117">
        <f t="shared" si="10"/>
        <v>101680.65600000002</v>
      </c>
      <c r="Q18" s="117">
        <f t="shared" si="11"/>
        <v>110924.35200000001</v>
      </c>
      <c r="R18" s="117">
        <f t="shared" si="12"/>
        <v>120168.04800000001</v>
      </c>
      <c r="S18" s="117">
        <f t="shared" si="13"/>
        <v>129411.74400000002</v>
      </c>
      <c r="T18" s="117">
        <f t="shared" si="14"/>
        <v>138655.44000000003</v>
      </c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x14ac:dyDescent="0.2">
      <c r="A19" s="81">
        <v>2023</v>
      </c>
      <c r="B19" s="101" t="s">
        <v>98</v>
      </c>
      <c r="C19" s="100">
        <v>12</v>
      </c>
      <c r="D19" s="82" t="s">
        <v>95</v>
      </c>
      <c r="E19" s="116">
        <f>VLOOKUP(C19,'EUS MINAGRI'!C19:F57,4,FALSE)</f>
        <v>427946.4</v>
      </c>
      <c r="F19" s="117">
        <f t="shared" si="0"/>
        <v>8558.9279999999999</v>
      </c>
      <c r="G19" s="117">
        <f t="shared" si="1"/>
        <v>17117.856</v>
      </c>
      <c r="H19" s="117">
        <f t="shared" si="2"/>
        <v>25676.784000000003</v>
      </c>
      <c r="I19" s="117">
        <f t="shared" si="3"/>
        <v>34235.712</v>
      </c>
      <c r="J19" s="117">
        <f t="shared" si="4"/>
        <v>42794.64</v>
      </c>
      <c r="K19" s="117">
        <f t="shared" si="5"/>
        <v>51353.568000000007</v>
      </c>
      <c r="L19" s="117">
        <f t="shared" si="6"/>
        <v>59912.496000000006</v>
      </c>
      <c r="M19" s="117">
        <f t="shared" si="7"/>
        <v>68471.423999999999</v>
      </c>
      <c r="N19" s="117">
        <f t="shared" si="8"/>
        <v>77030.351999999999</v>
      </c>
      <c r="O19" s="117">
        <f t="shared" si="9"/>
        <v>85589.28</v>
      </c>
      <c r="P19" s="117">
        <f t="shared" si="10"/>
        <v>94148.208000000013</v>
      </c>
      <c r="Q19" s="117">
        <f t="shared" si="11"/>
        <v>102707.13600000001</v>
      </c>
      <c r="R19" s="117">
        <f t="shared" si="12"/>
        <v>111266.064</v>
      </c>
      <c r="S19" s="117">
        <f t="shared" si="13"/>
        <v>119824.99200000001</v>
      </c>
      <c r="T19" s="117">
        <f t="shared" si="14"/>
        <v>128383.92</v>
      </c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x14ac:dyDescent="0.2">
      <c r="A20" s="81">
        <v>2023</v>
      </c>
      <c r="B20" s="101" t="s">
        <v>144</v>
      </c>
      <c r="C20" s="100">
        <v>12</v>
      </c>
      <c r="D20" s="82" t="s">
        <v>95</v>
      </c>
      <c r="E20" s="116">
        <f>VLOOKUP(C20,'EUS MINAGRI'!C20:F58,4,FALSE)</f>
        <v>427946.4</v>
      </c>
      <c r="F20" s="117">
        <f t="shared" si="0"/>
        <v>8558.9279999999999</v>
      </c>
      <c r="G20" s="117">
        <f t="shared" si="1"/>
        <v>17117.856</v>
      </c>
      <c r="H20" s="117">
        <f t="shared" si="2"/>
        <v>25676.784000000003</v>
      </c>
      <c r="I20" s="117">
        <f t="shared" si="3"/>
        <v>34235.712</v>
      </c>
      <c r="J20" s="117">
        <f t="shared" si="4"/>
        <v>42794.64</v>
      </c>
      <c r="K20" s="117">
        <f t="shared" si="5"/>
        <v>51353.568000000007</v>
      </c>
      <c r="L20" s="117">
        <f t="shared" si="6"/>
        <v>59912.496000000006</v>
      </c>
      <c r="M20" s="117">
        <f t="shared" si="7"/>
        <v>68471.423999999999</v>
      </c>
      <c r="N20" s="117">
        <f t="shared" si="8"/>
        <v>77030.351999999999</v>
      </c>
      <c r="O20" s="117">
        <f t="shared" si="9"/>
        <v>85589.28</v>
      </c>
      <c r="P20" s="117">
        <f t="shared" si="10"/>
        <v>94148.208000000013</v>
      </c>
      <c r="Q20" s="117">
        <f t="shared" si="11"/>
        <v>102707.13600000001</v>
      </c>
      <c r="R20" s="117">
        <f t="shared" si="12"/>
        <v>111266.064</v>
      </c>
      <c r="S20" s="117">
        <f t="shared" si="13"/>
        <v>119824.99200000001</v>
      </c>
      <c r="T20" s="117">
        <f t="shared" si="14"/>
        <v>128383.92</v>
      </c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x14ac:dyDescent="0.2">
      <c r="A21" s="81">
        <v>2023</v>
      </c>
      <c r="B21" s="101" t="s">
        <v>98</v>
      </c>
      <c r="C21" s="100">
        <v>13</v>
      </c>
      <c r="D21" s="82" t="s">
        <v>95</v>
      </c>
      <c r="E21" s="116">
        <f>VLOOKUP(C21,'EUS MINAGRI'!C21:F59,4,FALSE)</f>
        <v>396233.60000000003</v>
      </c>
      <c r="F21" s="117">
        <f t="shared" si="0"/>
        <v>7924.6720000000005</v>
      </c>
      <c r="G21" s="117">
        <f t="shared" si="1"/>
        <v>15849.344000000001</v>
      </c>
      <c r="H21" s="117">
        <f t="shared" si="2"/>
        <v>23774.016</v>
      </c>
      <c r="I21" s="117">
        <f t="shared" si="3"/>
        <v>31698.688000000002</v>
      </c>
      <c r="J21" s="117">
        <f t="shared" si="4"/>
        <v>39623.360000000008</v>
      </c>
      <c r="K21" s="117">
        <f t="shared" si="5"/>
        <v>47548.031999999999</v>
      </c>
      <c r="L21" s="117">
        <f t="shared" si="6"/>
        <v>55472.704000000005</v>
      </c>
      <c r="M21" s="117">
        <f t="shared" si="7"/>
        <v>63397.376000000004</v>
      </c>
      <c r="N21" s="117">
        <f t="shared" si="8"/>
        <v>71322.04800000001</v>
      </c>
      <c r="O21" s="117">
        <f t="shared" si="9"/>
        <v>79246.720000000016</v>
      </c>
      <c r="P21" s="117">
        <f t="shared" si="10"/>
        <v>87171.392000000007</v>
      </c>
      <c r="Q21" s="117">
        <f t="shared" si="11"/>
        <v>95096.063999999998</v>
      </c>
      <c r="R21" s="117">
        <f t="shared" si="12"/>
        <v>103020.73600000002</v>
      </c>
      <c r="S21" s="117">
        <f t="shared" si="13"/>
        <v>110945.40800000001</v>
      </c>
      <c r="T21" s="117">
        <f t="shared" si="14"/>
        <v>118870.08000000002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x14ac:dyDescent="0.2">
      <c r="A22" s="81">
        <v>2023</v>
      </c>
      <c r="B22" s="101" t="s">
        <v>98</v>
      </c>
      <c r="C22" s="100">
        <v>14</v>
      </c>
      <c r="D22" s="82" t="s">
        <v>95</v>
      </c>
      <c r="E22" s="116">
        <f>VLOOKUP(C22,'EUS MINAGRI'!C22:F60,4,FALSE)</f>
        <v>366824.64</v>
      </c>
      <c r="F22" s="117">
        <f t="shared" si="0"/>
        <v>7336.4928</v>
      </c>
      <c r="G22" s="117">
        <f t="shared" si="1"/>
        <v>14672.9856</v>
      </c>
      <c r="H22" s="117">
        <f t="shared" si="2"/>
        <v>22009.4784</v>
      </c>
      <c r="I22" s="117">
        <f t="shared" si="3"/>
        <v>29345.9712</v>
      </c>
      <c r="J22" s="117">
        <f t="shared" si="4"/>
        <v>36682.464000000007</v>
      </c>
      <c r="K22" s="117">
        <f t="shared" si="5"/>
        <v>44018.9568</v>
      </c>
      <c r="L22" s="117">
        <f t="shared" si="6"/>
        <v>51355.4496</v>
      </c>
      <c r="M22" s="117">
        <f t="shared" si="7"/>
        <v>58691.9424</v>
      </c>
      <c r="N22" s="117">
        <f t="shared" si="8"/>
        <v>66028.435200000007</v>
      </c>
      <c r="O22" s="117">
        <f t="shared" si="9"/>
        <v>73364.928000000014</v>
      </c>
      <c r="P22" s="117">
        <f t="shared" si="10"/>
        <v>80701.420800000007</v>
      </c>
      <c r="Q22" s="117">
        <f t="shared" si="11"/>
        <v>88037.9136</v>
      </c>
      <c r="R22" s="117">
        <f t="shared" si="12"/>
        <v>95374.406400000007</v>
      </c>
      <c r="S22" s="117">
        <f t="shared" si="13"/>
        <v>102710.8992</v>
      </c>
      <c r="T22" s="117">
        <f t="shared" si="14"/>
        <v>110047.39200000001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x14ac:dyDescent="0.2">
      <c r="A23" s="81">
        <v>2023</v>
      </c>
      <c r="B23" s="101" t="s">
        <v>98</v>
      </c>
      <c r="C23" s="100">
        <v>15</v>
      </c>
      <c r="D23" s="82" t="s">
        <v>95</v>
      </c>
      <c r="E23" s="116">
        <f>VLOOKUP(C23,'EUS MINAGRI'!C23:F61,4,FALSE)</f>
        <v>339676.96</v>
      </c>
      <c r="F23" s="117">
        <f t="shared" si="0"/>
        <v>6793.5392000000002</v>
      </c>
      <c r="G23" s="117">
        <f t="shared" si="1"/>
        <v>13587.0784</v>
      </c>
      <c r="H23" s="117">
        <f t="shared" si="2"/>
        <v>20380.617600000001</v>
      </c>
      <c r="I23" s="117">
        <f t="shared" si="3"/>
        <v>27174.156800000001</v>
      </c>
      <c r="J23" s="117">
        <f t="shared" si="4"/>
        <v>33967.696000000004</v>
      </c>
      <c r="K23" s="117">
        <f t="shared" si="5"/>
        <v>40761.235200000003</v>
      </c>
      <c r="L23" s="117">
        <f t="shared" si="6"/>
        <v>47554.774400000002</v>
      </c>
      <c r="M23" s="117">
        <f t="shared" si="7"/>
        <v>54348.313600000001</v>
      </c>
      <c r="N23" s="117">
        <f t="shared" si="8"/>
        <v>61141.852800000001</v>
      </c>
      <c r="O23" s="117">
        <f t="shared" si="9"/>
        <v>67935.392000000007</v>
      </c>
      <c r="P23" s="117">
        <f t="shared" si="10"/>
        <v>74728.931200000006</v>
      </c>
      <c r="Q23" s="117">
        <f t="shared" si="11"/>
        <v>81522.470400000006</v>
      </c>
      <c r="R23" s="117">
        <f t="shared" si="12"/>
        <v>88316.009600000005</v>
      </c>
      <c r="S23" s="117">
        <f t="shared" si="13"/>
        <v>95109.548800000004</v>
      </c>
      <c r="T23" s="117">
        <f t="shared" si="14"/>
        <v>101903.088</v>
      </c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x14ac:dyDescent="0.2">
      <c r="A24" s="81">
        <v>2023</v>
      </c>
      <c r="B24" s="101" t="s">
        <v>98</v>
      </c>
      <c r="C24" s="100">
        <v>23</v>
      </c>
      <c r="D24" s="82" t="s">
        <v>95</v>
      </c>
      <c r="E24" s="116">
        <f>VLOOKUP(C24,'EUS MINAGRI'!C24:F62,4,FALSE)</f>
        <v>192236.80000000002</v>
      </c>
      <c r="F24" s="117">
        <f t="shared" si="0"/>
        <v>3844.7360000000003</v>
      </c>
      <c r="G24" s="117">
        <f t="shared" si="1"/>
        <v>7689.4720000000007</v>
      </c>
      <c r="H24" s="117">
        <f t="shared" si="2"/>
        <v>11534.208000000001</v>
      </c>
      <c r="I24" s="117">
        <f t="shared" si="3"/>
        <v>15378.944000000001</v>
      </c>
      <c r="J24" s="117">
        <f t="shared" si="4"/>
        <v>19223.680000000004</v>
      </c>
      <c r="K24" s="117">
        <f t="shared" si="5"/>
        <v>23068.416000000001</v>
      </c>
      <c r="L24" s="117">
        <f t="shared" si="6"/>
        <v>26913.152000000002</v>
      </c>
      <c r="M24" s="117">
        <f t="shared" si="7"/>
        <v>30757.888000000003</v>
      </c>
      <c r="N24" s="117">
        <f t="shared" si="8"/>
        <v>34602.624000000003</v>
      </c>
      <c r="O24" s="117">
        <f t="shared" si="9"/>
        <v>38447.360000000008</v>
      </c>
      <c r="P24" s="117">
        <f t="shared" si="10"/>
        <v>42292.096000000005</v>
      </c>
      <c r="Q24" s="117">
        <f t="shared" si="11"/>
        <v>46136.832000000002</v>
      </c>
      <c r="R24" s="117">
        <f t="shared" si="12"/>
        <v>49981.568000000007</v>
      </c>
      <c r="S24" s="117">
        <f t="shared" si="13"/>
        <v>53826.304000000004</v>
      </c>
      <c r="T24" s="117">
        <f t="shared" si="14"/>
        <v>57671.040000000008</v>
      </c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x14ac:dyDescent="0.2">
      <c r="A25" s="81">
        <v>2023</v>
      </c>
      <c r="B25" s="101" t="s">
        <v>147</v>
      </c>
      <c r="C25" s="100">
        <v>9</v>
      </c>
      <c r="D25" s="82" t="s">
        <v>95</v>
      </c>
      <c r="E25" s="116">
        <f>VLOOKUP(C25,'EUS MINAGRI'!C25:F63,4,FALSE)</f>
        <v>539017.92000000004</v>
      </c>
      <c r="F25" s="117">
        <f t="shared" si="0"/>
        <v>10780.358400000001</v>
      </c>
      <c r="G25" s="117">
        <f t="shared" si="1"/>
        <v>21560.716800000002</v>
      </c>
      <c r="H25" s="117">
        <f t="shared" si="2"/>
        <v>32341.075200000007</v>
      </c>
      <c r="I25" s="117">
        <f t="shared" si="3"/>
        <v>43121.433600000004</v>
      </c>
      <c r="J25" s="117">
        <f t="shared" si="4"/>
        <v>53901.792000000001</v>
      </c>
      <c r="K25" s="117">
        <f t="shared" si="5"/>
        <v>64682.150400000013</v>
      </c>
      <c r="L25" s="117">
        <f t="shared" si="6"/>
        <v>75462.508800000011</v>
      </c>
      <c r="M25" s="117">
        <f t="shared" si="7"/>
        <v>86242.867200000008</v>
      </c>
      <c r="N25" s="117">
        <f t="shared" si="8"/>
        <v>97023.225600000005</v>
      </c>
      <c r="O25" s="117">
        <f t="shared" si="9"/>
        <v>107803.584</v>
      </c>
      <c r="P25" s="117">
        <f t="shared" si="10"/>
        <v>118583.9424</v>
      </c>
      <c r="Q25" s="117">
        <f t="shared" si="11"/>
        <v>129364.30080000003</v>
      </c>
      <c r="R25" s="117">
        <f t="shared" si="12"/>
        <v>140144.65920000002</v>
      </c>
      <c r="S25" s="117">
        <f t="shared" si="13"/>
        <v>150925.01760000002</v>
      </c>
      <c r="T25" s="117">
        <f t="shared" si="14"/>
        <v>161705.37600000002</v>
      </c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x14ac:dyDescent="0.2">
      <c r="A26" s="81">
        <v>2023</v>
      </c>
      <c r="B26" s="101" t="s">
        <v>147</v>
      </c>
      <c r="C26" s="100">
        <v>9</v>
      </c>
      <c r="D26" s="82" t="s">
        <v>95</v>
      </c>
      <c r="E26" s="116">
        <f>VLOOKUP(C26,'EUS MINAGRI'!C26:F64,4,FALSE)</f>
        <v>539017.92000000004</v>
      </c>
      <c r="F26" s="117">
        <f t="shared" si="0"/>
        <v>10780.358400000001</v>
      </c>
      <c r="G26" s="117">
        <f t="shared" si="1"/>
        <v>21560.716800000002</v>
      </c>
      <c r="H26" s="117">
        <f t="shared" si="2"/>
        <v>32341.075200000007</v>
      </c>
      <c r="I26" s="117">
        <f t="shared" si="3"/>
        <v>43121.433600000004</v>
      </c>
      <c r="J26" s="117">
        <f t="shared" si="4"/>
        <v>53901.792000000001</v>
      </c>
      <c r="K26" s="117">
        <f t="shared" si="5"/>
        <v>64682.150400000013</v>
      </c>
      <c r="L26" s="117">
        <f t="shared" si="6"/>
        <v>75462.508800000011</v>
      </c>
      <c r="M26" s="117">
        <f t="shared" si="7"/>
        <v>86242.867200000008</v>
      </c>
      <c r="N26" s="117">
        <f t="shared" si="8"/>
        <v>97023.225600000005</v>
      </c>
      <c r="O26" s="117">
        <f t="shared" si="9"/>
        <v>107803.584</v>
      </c>
      <c r="P26" s="117">
        <f t="shared" si="10"/>
        <v>118583.9424</v>
      </c>
      <c r="Q26" s="117">
        <f t="shared" si="11"/>
        <v>129364.30080000003</v>
      </c>
      <c r="R26" s="117">
        <f t="shared" si="12"/>
        <v>140144.65920000002</v>
      </c>
      <c r="S26" s="117">
        <f t="shared" si="13"/>
        <v>150925.01760000002</v>
      </c>
      <c r="T26" s="117">
        <f t="shared" si="14"/>
        <v>161705.37600000002</v>
      </c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x14ac:dyDescent="0.2">
      <c r="A27" s="81">
        <v>2023</v>
      </c>
      <c r="B27" s="101" t="s">
        <v>147</v>
      </c>
      <c r="C27" s="100">
        <v>10</v>
      </c>
      <c r="D27" s="82" t="s">
        <v>95</v>
      </c>
      <c r="E27" s="116">
        <f>VLOOKUP(C27,'EUS MINAGRI'!C27:F65,4,FALSE)</f>
        <v>499126.88000000006</v>
      </c>
      <c r="F27" s="117">
        <f t="shared" si="0"/>
        <v>9982.5376000000015</v>
      </c>
      <c r="G27" s="117">
        <f t="shared" si="1"/>
        <v>19965.075200000003</v>
      </c>
      <c r="H27" s="117">
        <f t="shared" si="2"/>
        <v>29947.612800000003</v>
      </c>
      <c r="I27" s="117">
        <f t="shared" si="3"/>
        <v>39930.150400000006</v>
      </c>
      <c r="J27" s="117">
        <f t="shared" si="4"/>
        <v>49912.688000000009</v>
      </c>
      <c r="K27" s="117">
        <f t="shared" si="5"/>
        <v>59895.225600000005</v>
      </c>
      <c r="L27" s="117">
        <f t="shared" si="6"/>
        <v>69877.763200000016</v>
      </c>
      <c r="M27" s="117">
        <f t="shared" si="7"/>
        <v>79860.300800000012</v>
      </c>
      <c r="N27" s="117">
        <f t="shared" si="8"/>
        <v>89842.838400000022</v>
      </c>
      <c r="O27" s="117">
        <f t="shared" si="9"/>
        <v>99825.376000000018</v>
      </c>
      <c r="P27" s="117">
        <f t="shared" si="10"/>
        <v>109807.91360000001</v>
      </c>
      <c r="Q27" s="117">
        <f t="shared" si="11"/>
        <v>119790.45120000001</v>
      </c>
      <c r="R27" s="117">
        <f t="shared" si="12"/>
        <v>129772.98880000001</v>
      </c>
      <c r="S27" s="117">
        <f t="shared" si="13"/>
        <v>139755.52640000003</v>
      </c>
      <c r="T27" s="117">
        <f t="shared" si="14"/>
        <v>149738.06400000001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x14ac:dyDescent="0.2">
      <c r="A28" s="81">
        <v>2023</v>
      </c>
      <c r="B28" s="101" t="s">
        <v>147</v>
      </c>
      <c r="C28" s="100">
        <v>11</v>
      </c>
      <c r="D28" s="82" t="s">
        <v>95</v>
      </c>
      <c r="E28" s="116">
        <f>VLOOKUP(C28,'EUS MINAGRI'!C28:F66,4,FALSE)</f>
        <v>462184.80000000005</v>
      </c>
      <c r="F28" s="117">
        <f t="shared" si="0"/>
        <v>9243.6960000000017</v>
      </c>
      <c r="G28" s="117">
        <f t="shared" si="1"/>
        <v>18487.392000000003</v>
      </c>
      <c r="H28" s="117">
        <f t="shared" si="2"/>
        <v>27731.088000000003</v>
      </c>
      <c r="I28" s="117">
        <f t="shared" si="3"/>
        <v>36974.784000000007</v>
      </c>
      <c r="J28" s="117">
        <f t="shared" si="4"/>
        <v>46218.48</v>
      </c>
      <c r="K28" s="117">
        <f t="shared" si="5"/>
        <v>55462.176000000007</v>
      </c>
      <c r="L28" s="117">
        <f t="shared" si="6"/>
        <v>64705.87200000001</v>
      </c>
      <c r="M28" s="117">
        <f t="shared" si="7"/>
        <v>73949.568000000014</v>
      </c>
      <c r="N28" s="117">
        <f t="shared" si="8"/>
        <v>83193.26400000001</v>
      </c>
      <c r="O28" s="117">
        <f t="shared" si="9"/>
        <v>92436.96</v>
      </c>
      <c r="P28" s="117">
        <f t="shared" si="10"/>
        <v>101680.65600000002</v>
      </c>
      <c r="Q28" s="117">
        <f t="shared" si="11"/>
        <v>110924.35200000001</v>
      </c>
      <c r="R28" s="117">
        <f t="shared" si="12"/>
        <v>120168.04800000001</v>
      </c>
      <c r="S28" s="117">
        <f t="shared" si="13"/>
        <v>129411.74400000002</v>
      </c>
      <c r="T28" s="117">
        <f t="shared" si="14"/>
        <v>138655.44000000003</v>
      </c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x14ac:dyDescent="0.2">
      <c r="A29" s="81">
        <v>2023</v>
      </c>
      <c r="B29" s="101" t="s">
        <v>147</v>
      </c>
      <c r="C29" s="100">
        <v>12</v>
      </c>
      <c r="D29" s="82" t="s">
        <v>95</v>
      </c>
      <c r="E29" s="116">
        <f>VLOOKUP(C29,'EUS MINAGRI'!C29:F67,4,FALSE)</f>
        <v>427946.4</v>
      </c>
      <c r="F29" s="117">
        <f t="shared" si="0"/>
        <v>8558.9279999999999</v>
      </c>
      <c r="G29" s="117">
        <f t="shared" si="1"/>
        <v>17117.856</v>
      </c>
      <c r="H29" s="117">
        <f t="shared" si="2"/>
        <v>25676.784000000003</v>
      </c>
      <c r="I29" s="117">
        <f t="shared" si="3"/>
        <v>34235.712</v>
      </c>
      <c r="J29" s="117">
        <f t="shared" si="4"/>
        <v>42794.64</v>
      </c>
      <c r="K29" s="117">
        <f t="shared" si="5"/>
        <v>51353.568000000007</v>
      </c>
      <c r="L29" s="117">
        <f t="shared" si="6"/>
        <v>59912.496000000006</v>
      </c>
      <c r="M29" s="117">
        <f t="shared" si="7"/>
        <v>68471.423999999999</v>
      </c>
      <c r="N29" s="117">
        <f t="shared" si="8"/>
        <v>77030.351999999999</v>
      </c>
      <c r="O29" s="117">
        <f t="shared" si="9"/>
        <v>85589.28</v>
      </c>
      <c r="P29" s="117">
        <f t="shared" si="10"/>
        <v>94148.208000000013</v>
      </c>
      <c r="Q29" s="117">
        <f t="shared" si="11"/>
        <v>102707.13600000001</v>
      </c>
      <c r="R29" s="117">
        <f t="shared" si="12"/>
        <v>111266.064</v>
      </c>
      <c r="S29" s="117">
        <f t="shared" si="13"/>
        <v>119824.99200000001</v>
      </c>
      <c r="T29" s="117">
        <f t="shared" si="14"/>
        <v>128383.92</v>
      </c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x14ac:dyDescent="0.2">
      <c r="A30" s="81">
        <v>2023</v>
      </c>
      <c r="B30" s="101" t="s">
        <v>147</v>
      </c>
      <c r="C30" s="100">
        <v>13</v>
      </c>
      <c r="D30" s="82" t="s">
        <v>95</v>
      </c>
      <c r="E30" s="116">
        <f>VLOOKUP(C30,'EUS MINAGRI'!C30:F68,4,FALSE)</f>
        <v>396233.60000000003</v>
      </c>
      <c r="F30" s="117">
        <f t="shared" si="0"/>
        <v>7924.6720000000005</v>
      </c>
      <c r="G30" s="117">
        <f t="shared" si="1"/>
        <v>15849.344000000001</v>
      </c>
      <c r="H30" s="117">
        <f t="shared" si="2"/>
        <v>23774.016</v>
      </c>
      <c r="I30" s="117">
        <f t="shared" si="3"/>
        <v>31698.688000000002</v>
      </c>
      <c r="J30" s="117">
        <f t="shared" si="4"/>
        <v>39623.360000000008</v>
      </c>
      <c r="K30" s="117">
        <f t="shared" si="5"/>
        <v>47548.031999999999</v>
      </c>
      <c r="L30" s="117">
        <f t="shared" si="6"/>
        <v>55472.704000000005</v>
      </c>
      <c r="M30" s="117">
        <f t="shared" si="7"/>
        <v>63397.376000000004</v>
      </c>
      <c r="N30" s="117">
        <f t="shared" si="8"/>
        <v>71322.04800000001</v>
      </c>
      <c r="O30" s="117">
        <f t="shared" si="9"/>
        <v>79246.720000000016</v>
      </c>
      <c r="P30" s="117">
        <f t="shared" si="10"/>
        <v>87171.392000000007</v>
      </c>
      <c r="Q30" s="117">
        <f t="shared" si="11"/>
        <v>95096.063999999998</v>
      </c>
      <c r="R30" s="117">
        <f t="shared" si="12"/>
        <v>103020.73600000002</v>
      </c>
      <c r="S30" s="117">
        <f t="shared" si="13"/>
        <v>110945.40800000001</v>
      </c>
      <c r="T30" s="117">
        <f t="shared" si="14"/>
        <v>118870.08000000002</v>
      </c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x14ac:dyDescent="0.2">
      <c r="A31" s="81">
        <v>2023</v>
      </c>
      <c r="B31" s="101" t="s">
        <v>147</v>
      </c>
      <c r="C31" s="100">
        <v>14</v>
      </c>
      <c r="D31" s="82" t="s">
        <v>95</v>
      </c>
      <c r="E31" s="116">
        <f>VLOOKUP(C31,'EUS MINAGRI'!C31:F69,4,FALSE)</f>
        <v>366824.64</v>
      </c>
      <c r="F31" s="117">
        <f t="shared" si="0"/>
        <v>7336.4928</v>
      </c>
      <c r="G31" s="117">
        <f t="shared" si="1"/>
        <v>14672.9856</v>
      </c>
      <c r="H31" s="117">
        <f t="shared" si="2"/>
        <v>22009.4784</v>
      </c>
      <c r="I31" s="117">
        <f t="shared" si="3"/>
        <v>29345.9712</v>
      </c>
      <c r="J31" s="117">
        <f t="shared" si="4"/>
        <v>36682.464000000007</v>
      </c>
      <c r="K31" s="117">
        <f t="shared" si="5"/>
        <v>44018.9568</v>
      </c>
      <c r="L31" s="117">
        <f t="shared" si="6"/>
        <v>51355.4496</v>
      </c>
      <c r="M31" s="117">
        <f t="shared" si="7"/>
        <v>58691.9424</v>
      </c>
      <c r="N31" s="117">
        <f t="shared" si="8"/>
        <v>66028.435200000007</v>
      </c>
      <c r="O31" s="117">
        <f t="shared" si="9"/>
        <v>73364.928000000014</v>
      </c>
      <c r="P31" s="117">
        <f t="shared" si="10"/>
        <v>80701.420800000007</v>
      </c>
      <c r="Q31" s="117">
        <f t="shared" si="11"/>
        <v>88037.9136</v>
      </c>
      <c r="R31" s="117">
        <f t="shared" si="12"/>
        <v>95374.406400000007</v>
      </c>
      <c r="S31" s="117">
        <f t="shared" si="13"/>
        <v>102710.8992</v>
      </c>
      <c r="T31" s="117">
        <f t="shared" si="14"/>
        <v>110047.39200000001</v>
      </c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x14ac:dyDescent="0.2">
      <c r="A32" s="81">
        <v>2023</v>
      </c>
      <c r="B32" s="101" t="s">
        <v>147</v>
      </c>
      <c r="C32" s="100">
        <v>15</v>
      </c>
      <c r="D32" s="82" t="s">
        <v>95</v>
      </c>
      <c r="E32" s="116">
        <f>VLOOKUP(C32,'EUS MINAGRI'!C32:F70,4,FALSE)</f>
        <v>339676.96</v>
      </c>
      <c r="F32" s="117">
        <f t="shared" si="0"/>
        <v>6793.5392000000002</v>
      </c>
      <c r="G32" s="117">
        <f t="shared" si="1"/>
        <v>13587.0784</v>
      </c>
      <c r="H32" s="117">
        <f t="shared" si="2"/>
        <v>20380.617600000001</v>
      </c>
      <c r="I32" s="117">
        <f t="shared" si="3"/>
        <v>27174.156800000001</v>
      </c>
      <c r="J32" s="117">
        <f t="shared" si="4"/>
        <v>33967.696000000004</v>
      </c>
      <c r="K32" s="117">
        <f t="shared" si="5"/>
        <v>40761.235200000003</v>
      </c>
      <c r="L32" s="117">
        <f t="shared" si="6"/>
        <v>47554.774400000002</v>
      </c>
      <c r="M32" s="117">
        <f t="shared" si="7"/>
        <v>54348.313600000001</v>
      </c>
      <c r="N32" s="117">
        <f t="shared" si="8"/>
        <v>61141.852800000001</v>
      </c>
      <c r="O32" s="117">
        <f t="shared" si="9"/>
        <v>67935.392000000007</v>
      </c>
      <c r="P32" s="117">
        <f t="shared" si="10"/>
        <v>74728.931200000006</v>
      </c>
      <c r="Q32" s="117">
        <f t="shared" si="11"/>
        <v>81522.470400000006</v>
      </c>
      <c r="R32" s="117">
        <f t="shared" si="12"/>
        <v>88316.009600000005</v>
      </c>
      <c r="S32" s="117">
        <f t="shared" si="13"/>
        <v>95109.548800000004</v>
      </c>
      <c r="T32" s="117">
        <f t="shared" si="14"/>
        <v>101903.088</v>
      </c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x14ac:dyDescent="0.2">
      <c r="A33" s="81">
        <v>2023</v>
      </c>
      <c r="B33" s="101" t="s">
        <v>147</v>
      </c>
      <c r="C33" s="100">
        <v>16</v>
      </c>
      <c r="D33" s="82" t="s">
        <v>95</v>
      </c>
      <c r="E33" s="116">
        <f>VLOOKUP(C33,'EUS MINAGRI'!C33:F71,4,FALSE)</f>
        <v>314453.44</v>
      </c>
      <c r="F33" s="117">
        <f t="shared" si="0"/>
        <v>6289.0688</v>
      </c>
      <c r="G33" s="117">
        <f t="shared" si="1"/>
        <v>12578.1376</v>
      </c>
      <c r="H33" s="117">
        <f t="shared" si="2"/>
        <v>18867.206400000003</v>
      </c>
      <c r="I33" s="117">
        <f t="shared" si="3"/>
        <v>25156.2752</v>
      </c>
      <c r="J33" s="117">
        <f t="shared" si="4"/>
        <v>31445.343999999997</v>
      </c>
      <c r="K33" s="117">
        <f t="shared" si="5"/>
        <v>37734.412800000006</v>
      </c>
      <c r="L33" s="117">
        <f t="shared" si="6"/>
        <v>44023.481599999999</v>
      </c>
      <c r="M33" s="117">
        <f t="shared" si="7"/>
        <v>50312.5504</v>
      </c>
      <c r="N33" s="117">
        <f t="shared" si="8"/>
        <v>56601.619200000001</v>
      </c>
      <c r="O33" s="117">
        <f t="shared" si="9"/>
        <v>62890.687999999995</v>
      </c>
      <c r="P33" s="117">
        <f t="shared" si="10"/>
        <v>69179.756800000003</v>
      </c>
      <c r="Q33" s="117">
        <f t="shared" si="11"/>
        <v>75468.825600000011</v>
      </c>
      <c r="R33" s="117">
        <f t="shared" si="12"/>
        <v>81757.894400000005</v>
      </c>
      <c r="S33" s="117">
        <f t="shared" si="13"/>
        <v>88046.963199999998</v>
      </c>
      <c r="T33" s="117">
        <f t="shared" si="14"/>
        <v>94336.031999999992</v>
      </c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x14ac:dyDescent="0.2">
      <c r="A34" s="81">
        <v>2023</v>
      </c>
      <c r="B34" s="101" t="s">
        <v>147</v>
      </c>
      <c r="C34" s="100">
        <v>17</v>
      </c>
      <c r="D34" s="82" t="s">
        <v>95</v>
      </c>
      <c r="E34" s="116">
        <f>VLOOKUP(C34,'EUS MINAGRI'!C34:F72,4,FALSE)</f>
        <v>291169.76</v>
      </c>
      <c r="F34" s="117">
        <f t="shared" si="0"/>
        <v>5823.3951999999999</v>
      </c>
      <c r="G34" s="117">
        <f t="shared" si="1"/>
        <v>11646.7904</v>
      </c>
      <c r="H34" s="117">
        <f t="shared" si="2"/>
        <v>17470.185600000001</v>
      </c>
      <c r="I34" s="117">
        <f t="shared" si="3"/>
        <v>23293.5808</v>
      </c>
      <c r="J34" s="117">
        <f t="shared" si="4"/>
        <v>29116.976000000002</v>
      </c>
      <c r="K34" s="117">
        <f t="shared" si="5"/>
        <v>34940.371200000001</v>
      </c>
      <c r="L34" s="117">
        <f t="shared" si="6"/>
        <v>40763.7664</v>
      </c>
      <c r="M34" s="117">
        <f t="shared" si="7"/>
        <v>46587.161599999999</v>
      </c>
      <c r="N34" s="117">
        <f t="shared" si="8"/>
        <v>52410.556799999998</v>
      </c>
      <c r="O34" s="117">
        <f t="shared" si="9"/>
        <v>58233.952000000005</v>
      </c>
      <c r="P34" s="117">
        <f t="shared" si="10"/>
        <v>64057.347200000004</v>
      </c>
      <c r="Q34" s="117">
        <f t="shared" si="11"/>
        <v>69880.742400000003</v>
      </c>
      <c r="R34" s="117">
        <f t="shared" si="12"/>
        <v>75704.137600000002</v>
      </c>
      <c r="S34" s="117">
        <f t="shared" si="13"/>
        <v>81527.532800000001</v>
      </c>
      <c r="T34" s="117">
        <f t="shared" si="14"/>
        <v>87350.928000000014</v>
      </c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x14ac:dyDescent="0.2">
      <c r="A35" s="81">
        <v>2023</v>
      </c>
      <c r="B35" s="101" t="s">
        <v>99</v>
      </c>
      <c r="C35" s="100">
        <v>14</v>
      </c>
      <c r="D35" s="82" t="s">
        <v>95</v>
      </c>
      <c r="E35" s="116">
        <f>VLOOKUP(C35,'EUS MINAGRI'!C35:F73,4,FALSE)</f>
        <v>366824.64</v>
      </c>
      <c r="F35" s="117">
        <f t="shared" ref="F35:F40" si="15">E35*2/100</f>
        <v>7336.4928</v>
      </c>
      <c r="G35" s="117">
        <f t="shared" ref="G35:G40" si="16">E35*4/100</f>
        <v>14672.9856</v>
      </c>
      <c r="H35" s="117">
        <f t="shared" ref="H35:H40" si="17">E35*6/100</f>
        <v>22009.4784</v>
      </c>
      <c r="I35" s="117">
        <f t="shared" ref="I35:I40" si="18">E35*8/100</f>
        <v>29345.9712</v>
      </c>
      <c r="J35" s="117">
        <f t="shared" ref="J35:J40" si="19">E35*10/100</f>
        <v>36682.464000000007</v>
      </c>
      <c r="K35" s="117">
        <f t="shared" ref="K35:K40" si="20">E35*12/100</f>
        <v>44018.9568</v>
      </c>
      <c r="L35" s="117">
        <f t="shared" ref="L35:L40" si="21">E35*14/100</f>
        <v>51355.4496</v>
      </c>
      <c r="M35" s="117">
        <f t="shared" ref="M35:M40" si="22">E35*16/100</f>
        <v>58691.9424</v>
      </c>
      <c r="N35" s="117">
        <f t="shared" ref="N35:N40" si="23">E35*18/100</f>
        <v>66028.435200000007</v>
      </c>
      <c r="O35" s="117">
        <f t="shared" ref="O35:O40" si="24">E35*20/100</f>
        <v>73364.928000000014</v>
      </c>
      <c r="P35" s="117">
        <f t="shared" ref="P35:P40" si="25">E35*22/100</f>
        <v>80701.420800000007</v>
      </c>
      <c r="Q35" s="117">
        <f t="shared" ref="Q35:Q40" si="26">E35*24/100</f>
        <v>88037.9136</v>
      </c>
      <c r="R35" s="117">
        <f t="shared" ref="R35:R40" si="27">E35*26/100</f>
        <v>95374.406400000007</v>
      </c>
      <c r="S35" s="117">
        <f t="shared" ref="S35:S40" si="28">E35*28/100</f>
        <v>102710.8992</v>
      </c>
      <c r="T35" s="117">
        <f t="shared" ref="T35:T40" si="29">E35*30/100</f>
        <v>110047.39200000001</v>
      </c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x14ac:dyDescent="0.2">
      <c r="A36" s="81">
        <v>2023</v>
      </c>
      <c r="B36" s="101" t="s">
        <v>99</v>
      </c>
      <c r="C36" s="100">
        <v>15</v>
      </c>
      <c r="D36" s="82" t="s">
        <v>95</v>
      </c>
      <c r="E36" s="116">
        <f>VLOOKUP(C36,'EUS MINAGRI'!C36:F74,4,FALSE)</f>
        <v>339676.96</v>
      </c>
      <c r="F36" s="117">
        <f t="shared" si="15"/>
        <v>6793.5392000000002</v>
      </c>
      <c r="G36" s="117">
        <f t="shared" si="16"/>
        <v>13587.0784</v>
      </c>
      <c r="H36" s="117">
        <f t="shared" si="17"/>
        <v>20380.617600000001</v>
      </c>
      <c r="I36" s="117">
        <f t="shared" si="18"/>
        <v>27174.156800000001</v>
      </c>
      <c r="J36" s="117">
        <f t="shared" si="19"/>
        <v>33967.696000000004</v>
      </c>
      <c r="K36" s="117">
        <f t="shared" si="20"/>
        <v>40761.235200000003</v>
      </c>
      <c r="L36" s="117">
        <f t="shared" si="21"/>
        <v>47554.774400000002</v>
      </c>
      <c r="M36" s="117">
        <f t="shared" si="22"/>
        <v>54348.313600000001</v>
      </c>
      <c r="N36" s="117">
        <f t="shared" si="23"/>
        <v>61141.852800000001</v>
      </c>
      <c r="O36" s="117">
        <f t="shared" si="24"/>
        <v>67935.392000000007</v>
      </c>
      <c r="P36" s="117">
        <f t="shared" si="25"/>
        <v>74728.931200000006</v>
      </c>
      <c r="Q36" s="117">
        <f t="shared" si="26"/>
        <v>81522.470400000006</v>
      </c>
      <c r="R36" s="117">
        <f t="shared" si="27"/>
        <v>88316.009600000005</v>
      </c>
      <c r="S36" s="117">
        <f t="shared" si="28"/>
        <v>95109.548800000004</v>
      </c>
      <c r="T36" s="117">
        <f t="shared" si="29"/>
        <v>101903.088</v>
      </c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x14ac:dyDescent="0.2">
      <c r="A37" s="81">
        <v>2023</v>
      </c>
      <c r="B37" s="101" t="s">
        <v>99</v>
      </c>
      <c r="C37" s="100">
        <v>16</v>
      </c>
      <c r="D37" s="82" t="s">
        <v>95</v>
      </c>
      <c r="E37" s="116">
        <f>VLOOKUP(C37,'EUS MINAGRI'!C37:F75,4,FALSE)</f>
        <v>314453.44</v>
      </c>
      <c r="F37" s="117">
        <f t="shared" si="15"/>
        <v>6289.0688</v>
      </c>
      <c r="G37" s="117">
        <f t="shared" si="16"/>
        <v>12578.1376</v>
      </c>
      <c r="H37" s="117">
        <f t="shared" si="17"/>
        <v>18867.206400000003</v>
      </c>
      <c r="I37" s="117">
        <f t="shared" si="18"/>
        <v>25156.2752</v>
      </c>
      <c r="J37" s="117">
        <f t="shared" si="19"/>
        <v>31445.343999999997</v>
      </c>
      <c r="K37" s="117">
        <f t="shared" si="20"/>
        <v>37734.412800000006</v>
      </c>
      <c r="L37" s="117">
        <f t="shared" si="21"/>
        <v>44023.481599999999</v>
      </c>
      <c r="M37" s="117">
        <f t="shared" si="22"/>
        <v>50312.5504</v>
      </c>
      <c r="N37" s="117">
        <f t="shared" si="23"/>
        <v>56601.619200000001</v>
      </c>
      <c r="O37" s="117">
        <f t="shared" si="24"/>
        <v>62890.687999999995</v>
      </c>
      <c r="P37" s="117">
        <f t="shared" si="25"/>
        <v>69179.756800000003</v>
      </c>
      <c r="Q37" s="117">
        <f t="shared" si="26"/>
        <v>75468.825600000011</v>
      </c>
      <c r="R37" s="117">
        <f t="shared" si="27"/>
        <v>81757.894400000005</v>
      </c>
      <c r="S37" s="117">
        <f t="shared" si="28"/>
        <v>88046.963199999998</v>
      </c>
      <c r="T37" s="117">
        <f t="shared" si="29"/>
        <v>94336.031999999992</v>
      </c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x14ac:dyDescent="0.2">
      <c r="A38" s="81">
        <v>2023</v>
      </c>
      <c r="B38" s="101" t="s">
        <v>99</v>
      </c>
      <c r="C38" s="100">
        <v>16</v>
      </c>
      <c r="D38" s="82" t="s">
        <v>95</v>
      </c>
      <c r="E38" s="116">
        <f>VLOOKUP(C38,'EUS MINAGRI'!C38:F76,4,FALSE)</f>
        <v>314453.44</v>
      </c>
      <c r="F38" s="117">
        <f t="shared" si="15"/>
        <v>6289.0688</v>
      </c>
      <c r="G38" s="117">
        <f t="shared" si="16"/>
        <v>12578.1376</v>
      </c>
      <c r="H38" s="117">
        <f t="shared" si="17"/>
        <v>18867.206400000003</v>
      </c>
      <c r="I38" s="117">
        <f t="shared" si="18"/>
        <v>25156.2752</v>
      </c>
      <c r="J38" s="117">
        <f t="shared" si="19"/>
        <v>31445.343999999997</v>
      </c>
      <c r="K38" s="117">
        <f t="shared" si="20"/>
        <v>37734.412800000006</v>
      </c>
      <c r="L38" s="117">
        <f t="shared" si="21"/>
        <v>44023.481599999999</v>
      </c>
      <c r="M38" s="117">
        <f t="shared" si="22"/>
        <v>50312.5504</v>
      </c>
      <c r="N38" s="117">
        <f t="shared" si="23"/>
        <v>56601.619200000001</v>
      </c>
      <c r="O38" s="117">
        <f t="shared" si="24"/>
        <v>62890.687999999995</v>
      </c>
      <c r="P38" s="117">
        <f t="shared" si="25"/>
        <v>69179.756800000003</v>
      </c>
      <c r="Q38" s="117">
        <f t="shared" si="26"/>
        <v>75468.825600000011</v>
      </c>
      <c r="R38" s="117">
        <f t="shared" si="27"/>
        <v>81757.894400000005</v>
      </c>
      <c r="S38" s="117">
        <f t="shared" si="28"/>
        <v>88046.963199999998</v>
      </c>
      <c r="T38" s="117">
        <f t="shared" si="29"/>
        <v>94336.031999999992</v>
      </c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x14ac:dyDescent="0.2">
      <c r="A39" s="81">
        <v>2023</v>
      </c>
      <c r="B39" s="101" t="s">
        <v>99</v>
      </c>
      <c r="C39" s="100">
        <v>17</v>
      </c>
      <c r="D39" s="82" t="s">
        <v>95</v>
      </c>
      <c r="E39" s="116">
        <f>VLOOKUP(C39,'EUS MINAGRI'!C39:F77,4,FALSE)</f>
        <v>291169.76</v>
      </c>
      <c r="F39" s="117">
        <f t="shared" si="15"/>
        <v>5823.3951999999999</v>
      </c>
      <c r="G39" s="117">
        <f t="shared" si="16"/>
        <v>11646.7904</v>
      </c>
      <c r="H39" s="117">
        <f t="shared" si="17"/>
        <v>17470.185600000001</v>
      </c>
      <c r="I39" s="117">
        <f t="shared" si="18"/>
        <v>23293.5808</v>
      </c>
      <c r="J39" s="117">
        <f t="shared" si="19"/>
        <v>29116.976000000002</v>
      </c>
      <c r="K39" s="117">
        <f t="shared" si="20"/>
        <v>34940.371200000001</v>
      </c>
      <c r="L39" s="117">
        <f t="shared" si="21"/>
        <v>40763.7664</v>
      </c>
      <c r="M39" s="117">
        <f t="shared" si="22"/>
        <v>46587.161599999999</v>
      </c>
      <c r="N39" s="117">
        <f t="shared" si="23"/>
        <v>52410.556799999998</v>
      </c>
      <c r="O39" s="117">
        <f t="shared" si="24"/>
        <v>58233.952000000005</v>
      </c>
      <c r="P39" s="117">
        <f t="shared" si="25"/>
        <v>64057.347200000004</v>
      </c>
      <c r="Q39" s="117">
        <f t="shared" si="26"/>
        <v>69880.742400000003</v>
      </c>
      <c r="R39" s="117">
        <f t="shared" si="27"/>
        <v>75704.137600000002</v>
      </c>
      <c r="S39" s="117">
        <f t="shared" si="28"/>
        <v>81527.532800000001</v>
      </c>
      <c r="T39" s="117">
        <f t="shared" si="29"/>
        <v>87350.928000000014</v>
      </c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x14ac:dyDescent="0.2">
      <c r="A40" s="81">
        <v>2023</v>
      </c>
      <c r="B40" s="101" t="s">
        <v>100</v>
      </c>
      <c r="C40" s="100">
        <v>19</v>
      </c>
      <c r="D40" s="82" t="s">
        <v>95</v>
      </c>
      <c r="E40" s="116">
        <f>VLOOKUP(C40,'EUS MINAGRI'!C40:F78,4,FALSE)</f>
        <v>251978.72000000003</v>
      </c>
      <c r="F40" s="117">
        <f t="shared" si="15"/>
        <v>5039.5744000000004</v>
      </c>
      <c r="G40" s="117">
        <f t="shared" si="16"/>
        <v>10079.148800000001</v>
      </c>
      <c r="H40" s="117">
        <f t="shared" si="17"/>
        <v>15118.723200000002</v>
      </c>
      <c r="I40" s="117">
        <f t="shared" si="18"/>
        <v>20158.297600000002</v>
      </c>
      <c r="J40" s="117">
        <f t="shared" si="19"/>
        <v>25197.872000000003</v>
      </c>
      <c r="K40" s="117">
        <f t="shared" si="20"/>
        <v>30237.446400000004</v>
      </c>
      <c r="L40" s="117">
        <f t="shared" si="21"/>
        <v>35277.020800000006</v>
      </c>
      <c r="M40" s="117">
        <f t="shared" si="22"/>
        <v>40316.595200000003</v>
      </c>
      <c r="N40" s="117">
        <f t="shared" si="23"/>
        <v>45356.169600000008</v>
      </c>
      <c r="O40" s="117">
        <f t="shared" si="24"/>
        <v>50395.744000000006</v>
      </c>
      <c r="P40" s="117">
        <f t="shared" si="25"/>
        <v>55435.318400000011</v>
      </c>
      <c r="Q40" s="117">
        <f t="shared" si="26"/>
        <v>60474.892800000009</v>
      </c>
      <c r="R40" s="117">
        <f t="shared" si="27"/>
        <v>65514.467200000006</v>
      </c>
      <c r="S40" s="117">
        <f t="shared" si="28"/>
        <v>70554.041600000011</v>
      </c>
      <c r="T40" s="117">
        <f t="shared" si="29"/>
        <v>75593.616000000009</v>
      </c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35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35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35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35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35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35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35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  <row r="57" s="77" customFormat="1" x14ac:dyDescent="0.2"/>
    <row r="58" s="77" customFormat="1" x14ac:dyDescent="0.2"/>
    <row r="59" s="77" customFormat="1" x14ac:dyDescent="0.2"/>
    <row r="60" s="77" customFormat="1" x14ac:dyDescent="0.2"/>
    <row r="61" s="77" customFormat="1" x14ac:dyDescent="0.2"/>
    <row r="62" s="77" customFormat="1" x14ac:dyDescent="0.2"/>
    <row r="63" s="77" customFormat="1" x14ac:dyDescent="0.2"/>
    <row r="64" s="77" customFormat="1" x14ac:dyDescent="0.2"/>
    <row r="65" s="77" customFormat="1" x14ac:dyDescent="0.2"/>
    <row r="66" s="77" customFormat="1" x14ac:dyDescent="0.2"/>
    <row r="67" s="77" customFormat="1" x14ac:dyDescent="0.2"/>
    <row r="68" s="77" customFormat="1" x14ac:dyDescent="0.2"/>
    <row r="69" s="77" customFormat="1" x14ac:dyDescent="0.2"/>
    <row r="70" s="77" customFormat="1" x14ac:dyDescent="0.2"/>
    <row r="71" s="77" customFormat="1" x14ac:dyDescent="0.2"/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EUS GENERAL</vt:lpstr>
      <vt:lpstr>EUS SALUD Y PENSIONES</vt:lpstr>
      <vt:lpstr>EUS MINAGRI</vt:lpstr>
      <vt:lpstr>BONO MODERNIZACIÓN</vt:lpstr>
      <vt:lpstr>ASIG. ANTIGUEDAD</vt:lpstr>
      <vt:lpstr>'BONO MODERNIZACIÓN'!Área_de_impresión</vt:lpstr>
      <vt:lpstr>'EUS MINAGRI'!Área_de_impresión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PLATERO CHANG</dc:creator>
  <cp:lastModifiedBy>Cristian Caro Carreño</cp:lastModifiedBy>
  <cp:lastPrinted>2022-02-03T14:20:53Z</cp:lastPrinted>
  <dcterms:created xsi:type="dcterms:W3CDTF">2015-12-14T14:06:51Z</dcterms:created>
  <dcterms:modified xsi:type="dcterms:W3CDTF">2023-02-14T14:58:47Z</dcterms:modified>
</cp:coreProperties>
</file>